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harco-my.sharepoint.com/personal/prasmussen_oharco_com/Documents/WIX/Price Pages/"/>
    </mc:Choice>
  </mc:AlternateContent>
  <xr:revisionPtr revIDLastSave="0" documentId="8_{F4C7347F-875A-4730-93C2-CD9FFCB6E8BE}" xr6:coauthVersionLast="47" xr6:coauthVersionMax="47" xr10:uidLastSave="{00000000-0000-0000-0000-000000000000}"/>
  <bookViews>
    <workbookView xWindow="47880" yWindow="120" windowWidth="29040" windowHeight="15840" xr2:uid="{00000000-000D-0000-FFFF-FFFF00000000}"/>
  </bookViews>
  <sheets>
    <sheet name="CUSTOMER" sheetId="10" r:id="rId1"/>
    <sheet name="VALEN" sheetId="12" state="hidden" r:id="rId2"/>
    <sheet name="Doors" sheetId="13" r:id="rId3"/>
    <sheet name="Moldings" sheetId="14" r:id="rId4"/>
    <sheet name="INFOR ORDER" sheetId="16" state="hidden" r:id="rId5"/>
    <sheet name="Door Inserts" sheetId="18" r:id="rId6"/>
    <sheet name="Price Lists" sheetId="11" state="hidden" r:id="rId7"/>
    <sheet name="SKU List" sheetId="15" state="hidden" r:id="rId8"/>
    <sheet name="Sheet1" sheetId="17" state="hidden" r:id="rId9"/>
  </sheets>
  <externalReferences>
    <externalReference r:id="rId10"/>
  </externalReferences>
  <definedNames>
    <definedName name="_xlnm._FilterDatabase" localSheetId="6" hidden="1">'Price Lists'!$F$1:$F$3731</definedName>
    <definedName name="AccessoriesColors" localSheetId="6">'Price Lists'!#REF!</definedName>
    <definedName name="accessorycolors" localSheetId="1">'Price Lists'!#REF!</definedName>
    <definedName name="Alabaster" localSheetId="6">'Price Lists'!$C$2:$C$5</definedName>
    <definedName name="Arauco" localSheetId="6">'Price Lists'!#REF!</definedName>
    <definedName name="Argento" localSheetId="6">'Price Lists'!$C$2:$C$5</definedName>
    <definedName name="ArgentoContemporary" localSheetId="6">'Price Lists'!$C$52:$C$53</definedName>
    <definedName name="ArgentoTraditional" localSheetId="6">'Price Lists'!$C$49</definedName>
    <definedName name="ArgentoTraditionalAndContemporaryCombination" localSheetId="6">'Price Lists'!$C$56</definedName>
    <definedName name="Base_Profile_4728" localSheetId="6">'Price Lists'!#REF!</definedName>
    <definedName name="BaseProfile4729" localSheetId="6">'Price Lists'!#REF!</definedName>
    <definedName name="Bravo">'Price Lists'!$B$4:$B$30</definedName>
    <definedName name="BravoCandlelight" localSheetId="1">'Price Lists'!#REF!</definedName>
    <definedName name="BravoChocolate" localSheetId="1">'Price Lists'!#REF!</definedName>
    <definedName name="BravoIvoryWithGlaze" localSheetId="1">'Price Lists'!#REF!</definedName>
    <definedName name="BravoSugarloafMaple" localSheetId="1">'Price Lists'!#REF!</definedName>
    <definedName name="BravoSummerFlame" localSheetId="1">'Price Lists'!#REF!</definedName>
    <definedName name="Candlelight" localSheetId="6">'Price Lists'!#REF!</definedName>
    <definedName name="Candlelightbravo\" localSheetId="1">'Price Lists'!#REF!</definedName>
    <definedName name="CanList" localSheetId="1">'Price Lists'!#REF!</definedName>
    <definedName name="Chocolate" localSheetId="6">'Price Lists'!#REF!</definedName>
    <definedName name="ChocolateBravo" localSheetId="1">'Price Lists'!#REF!</definedName>
    <definedName name="ChoList" localSheetId="1">'Price Lists'!#REF!</definedName>
    <definedName name="clear" localSheetId="0">CUSTOMER!$A$15:$N$44</definedName>
    <definedName name="clear" localSheetId="1">VALEN!$A$15:$L$44</definedName>
    <definedName name="Color" localSheetId="3">[1]LISTS!$B$2:$B$19</definedName>
    <definedName name="Color">'Price Lists'!$B$2:$B$30</definedName>
    <definedName name="ColorList" localSheetId="6">'Price Lists'!$B$2:$B$30</definedName>
    <definedName name="Colors" localSheetId="6">'Price Lists'!#REF!</definedName>
    <definedName name="ColorsList" localSheetId="6">'Price Lists'!#REF!</definedName>
    <definedName name="Contemporary">'Price Lists'!$C$14:$C$16</definedName>
    <definedName name="Contemporary4780">'Price Lists'!$C$14:$C$16</definedName>
    <definedName name="ContemporaryWf432Alabaster">'Price Lists'!$C$52:$C$53</definedName>
    <definedName name="ContemporaryWf433Argento">'Price Lists'!$C$52:$C$53</definedName>
    <definedName name="ContemporaryWf434Gibraltar">'Price Lists'!$C$52:$C$53</definedName>
    <definedName name="ContemporaryWF435Palomino">'Price Lists'!$C$52:$C$53</definedName>
    <definedName name="ContemporaryWf436Kodiak">'Price Lists'!$C$52:$C$53</definedName>
    <definedName name="DoorBravoCandlelight" localSheetId="1">'Price Lists'!#REF!</definedName>
    <definedName name="DoorBravoChocolate" localSheetId="1">'Price Lists'!#REF!</definedName>
    <definedName name="DoorBravoIvoryWithGlaze" localSheetId="1">'Price Lists'!#REF!</definedName>
    <definedName name="DoorBravoSugarloafMaple" localSheetId="1">'Price Lists'!#REF!</definedName>
    <definedName name="DoorBravoSummerFlame" localSheetId="1">'Price Lists'!#REF!</definedName>
    <definedName name="DoorContemporaryWf432Alabaster">'Price Lists'!$C$52:$C$53</definedName>
    <definedName name="DoorContemporaryWf433Argento">'Price Lists'!$C$52:$C$53</definedName>
    <definedName name="DoorContemporaryWf434Gibraltar">'Price Lists'!$C$52:$C$53</definedName>
    <definedName name="DoorContemporaryWf435Palomino">'Price Lists'!$C$52:$C$53</definedName>
    <definedName name="DoorContemporaryWf436Kodiak">'Price Lists'!$C$52:$C$53</definedName>
    <definedName name="DoorTempoIvory" localSheetId="1">'Price Lists'!#REF!</definedName>
    <definedName name="DoorTempoSnowWhite" localSheetId="1">'Price Lists'!#REF!</definedName>
    <definedName name="DoorTraditionalAndContemporaryCombinationWf432Alabaster">'Price Lists'!$C$56</definedName>
    <definedName name="DoorTraditionalAndContemporaryCombinationWf433Argento">'Price Lists'!$C$56</definedName>
    <definedName name="DoorTraditionalAndContemporaryCombinationWf434Gibraltar">'Price Lists'!$C$56</definedName>
    <definedName name="DoorTraditionalAndContemporaryCombinationWf435Palomino">'Price Lists'!$C$56</definedName>
    <definedName name="DoorTraditionalAndContemporaryCombinationWf436Kodiak">'Price Lists'!$C$56</definedName>
    <definedName name="DoorTraditionalWf432Alabaster">'Price Lists'!$C$49</definedName>
    <definedName name="DoorTraditionalWf433Argento">'Price Lists'!$C$49</definedName>
    <definedName name="DoorTraditionalWf434Gibraltar">'Price Lists'!$C$49</definedName>
    <definedName name="DoorTraditionalWf435Palomino">'Price Lists'!$C$49</definedName>
    <definedName name="DoorTraditionalWf436Kodiak">'Price Lists'!$C$49</definedName>
    <definedName name="DrawerBravoCandlelight" localSheetId="1">'Price Lists'!#REF!</definedName>
    <definedName name="DrawerBravoChocolate" localSheetId="1">'Price Lists'!#REF!</definedName>
    <definedName name="DrawerBravoIvoryWithGlaze" localSheetId="1">'Price Lists'!#REF!</definedName>
    <definedName name="DrawerBravoSugarloafMaple" localSheetId="1">'Price Lists'!#REF!</definedName>
    <definedName name="DrawerBravoSummerFlame" localSheetId="1">'Price Lists'!#REF!</definedName>
    <definedName name="DrawerContemporaryWf432Alabaster">'Price Lists'!$C$52:$C$53</definedName>
    <definedName name="DrawerContemporaryWf433Argento">'Price Lists'!$C$52:$C$53</definedName>
    <definedName name="DrawerContemporaryWf434Gibraltar">'Price Lists'!$C$52:$C$53</definedName>
    <definedName name="DrawerContemporaryWf435Palomino">'Price Lists'!$C$52:$C$53</definedName>
    <definedName name="DrawerContemporaryWf436Kodiak">'Price Lists'!$C$52:$C$53</definedName>
    <definedName name="DrawerTempoIvory" localSheetId="1">'Price Lists'!#REF!</definedName>
    <definedName name="DrawerTempoSnowWhite" localSheetId="1">'Price Lists'!#REF!</definedName>
    <definedName name="DrawerTraditionalAndContemporaryCombinationWf432Alabaster">'Price Lists'!$C$56</definedName>
    <definedName name="DrawerTraditionalAndContemporaryCombinationWf433Argento">'Price Lists'!$C$56</definedName>
    <definedName name="DrawerTraditionalAndContemporaryCombinationWf434Gibraltar">'Price Lists'!$C$56</definedName>
    <definedName name="DrawerTraditionalAndContemporaryCombinationWf435Palomino">'Price Lists'!$C$56</definedName>
    <definedName name="DrawerTraditionalAndContemporaryCombinationWf436Kodiak">'Price Lists'!$C$56</definedName>
    <definedName name="DrawerTraditionalWf432Alabaster">'Price Lists'!$C$49</definedName>
    <definedName name="DrawerTraditionalWf433Argento">'Price Lists'!$C$49</definedName>
    <definedName name="DrawerTraditionalWf434Gibraltar">'Price Lists'!$C$49</definedName>
    <definedName name="DrawerTraditionalWf435Palomino">'Price Lists'!$C$49</definedName>
    <definedName name="DrawerTraditionalWf436Kodiak">'Price Lists'!$C$49</definedName>
    <definedName name="DrawerTraditonalWf434Gibraltar">'Price Lists'!$C$49</definedName>
    <definedName name="Gibraltar" localSheetId="6">'Price Lists'!$C$2:$C$5</definedName>
    <definedName name="GibraltarContempory" localSheetId="6">'Price Lists'!$C$52:$C$53</definedName>
    <definedName name="GibraltarTraditional" localSheetId="6">'Price Lists'!$C$49</definedName>
    <definedName name="GibraltarTraditionalAndContemporaryCombination" localSheetId="6">'Price Lists'!$C$56</definedName>
    <definedName name="Items" localSheetId="6">'Price Lists'!#REF!</definedName>
    <definedName name="ItemsList" localSheetId="6">'Price Lists'!$J$1:$L$1</definedName>
    <definedName name="IvorList" localSheetId="1">'Price Lists'!#REF!</definedName>
    <definedName name="Ivory" localSheetId="6">'Price Lists'!#REF!</definedName>
    <definedName name="IvoryList" localSheetId="1">'Price Lists'!#REF!</definedName>
    <definedName name="IvoryTempoDoor" localSheetId="6">'Price Lists'!#REF!</definedName>
    <definedName name="IvoryTempoDrawerFront" localSheetId="6">'Price Lists'!#REF!</definedName>
    <definedName name="IvoryWithGlaze" localSheetId="6">'Price Lists'!#REF!</definedName>
    <definedName name="IvoryWithGlazeBravo" localSheetId="6">'Price Lists'!#REF!</definedName>
    <definedName name="Kodiak" localSheetId="6">'Price Lists'!$C$2:$C$5</definedName>
    <definedName name="KodiakContemporary" localSheetId="6">'Price Lists'!$C$52:$C$53</definedName>
    <definedName name="KodiakTraditional" localSheetId="6">'Price Lists'!$C$49</definedName>
    <definedName name="KodiakTraditionalAndContemporaryCombination" localSheetId="6">'Price Lists'!$C$56</definedName>
    <definedName name="List" localSheetId="6">'Price Lists'!#REF!</definedName>
    <definedName name="NarrowContemporaryCombo4482.4780">'Price Lists'!$C$20</definedName>
    <definedName name="NarrowTraditional">'Price Lists'!$C$2:$C$4</definedName>
    <definedName name="NarrowTraditional4482">'Price Lists'!$C$2:$C$4</definedName>
    <definedName name="OtherAccessories" localSheetId="6">'Price Lists'!#REF!</definedName>
    <definedName name="Palomino" localSheetId="6">'Price Lists'!$C$2:$C$5</definedName>
    <definedName name="PalominoContemporary" localSheetId="6">'Price Lists'!$C$52:$C$53</definedName>
    <definedName name="PalominoTraditional" localSheetId="6">'Price Lists'!$C$49</definedName>
    <definedName name="PalominoTraditionalAndContemporaryCombination" localSheetId="6">'Price Lists'!$C$56</definedName>
    <definedName name="_xlnm.Print_Area" localSheetId="0">CUSTOMER!$A$1:$N$64</definedName>
    <definedName name="_xlnm.Print_Area" localSheetId="2">Doors!$A$1:$Z$55</definedName>
    <definedName name="_xlnm.Print_Area" localSheetId="1">VALEN!$A$1:$N$49</definedName>
    <definedName name="_xlnm.Print_Titles" localSheetId="0">CUSTOMER!$1:$14</definedName>
    <definedName name="productlookup" localSheetId="1">'Price Lists'!#REF!</definedName>
    <definedName name="profile">'Price Lists'!$B$48:$B$54</definedName>
    <definedName name="ProfileList" localSheetId="6">'Price Lists'!#REF!</definedName>
    <definedName name="Shaker" localSheetId="6">'Price Lists'!#REF!</definedName>
    <definedName name="Slab">'Price Lists'!$C$28</definedName>
    <definedName name="SnoList" localSheetId="1">'Price Lists'!#REF!</definedName>
    <definedName name="SnowWhite" localSheetId="6">'Price Lists'!#REF!</definedName>
    <definedName name="Stile4482andRail4780" localSheetId="6">'Price Lists'!$C$56</definedName>
    <definedName name="SugarloafMaple" localSheetId="6">'Price Lists'!#REF!</definedName>
    <definedName name="SugarloafMapleBravo" localSheetId="1">'Price Lists'!#REF!</definedName>
    <definedName name="SugList" localSheetId="1">'Price Lists'!#REF!</definedName>
    <definedName name="SumList" localSheetId="1">'Price Lists'!#REF!</definedName>
    <definedName name="SummerFlame" localSheetId="6">'Price Lists'!#REF!</definedName>
    <definedName name="SummerFlameBravo" localSheetId="6">'Price Lists'!#REF!</definedName>
    <definedName name="SummerFlameBravo" localSheetId="1">'Price Lists'!#REF!</definedName>
    <definedName name="Tempo">'Price Lists'!$B$2:$B$3</definedName>
    <definedName name="Traditional" localSheetId="1">'Price Lists'!#REF!</definedName>
    <definedName name="TraditionalandContemporaryCombination" localSheetId="1">'Price Lists'!#REF!</definedName>
    <definedName name="TraditionalAndContemporaryCombinationWf432Alabaster">'Price Lists'!$C$56</definedName>
    <definedName name="TraditionalAndContemporaryCombinationWf433Argento">'Price Lists'!$C$56</definedName>
    <definedName name="TraditionalAndContemporaryCombinationWf434Gibraltar">'Price Lists'!$C$56</definedName>
    <definedName name="TraditionalAndContemporaryCombinationWf435Palomino">'Price Lists'!$C$56</definedName>
    <definedName name="TraditionalAndContemporaryCombinationWf436Kodiak">'Price Lists'!$C$56</definedName>
    <definedName name="Traditionalwf432Alabaster">'Price Lists'!$C$49</definedName>
    <definedName name="traditionalWf433Argento">'Price Lists'!$C$49</definedName>
    <definedName name="TraditionalWf434Gibraltar">'Price Lists'!$C$49</definedName>
    <definedName name="TraditionalWf435Palomino">'Price Lists'!$C$49</definedName>
    <definedName name="TraditionalWf436Kodiak">'Price Lists'!$C$49</definedName>
    <definedName name="WF432Alabaster" localSheetId="6">'Price Lists'!$C$2:$C$5</definedName>
    <definedName name="WF432AlabasterContemporary" localSheetId="6">'Price Lists'!$C$52:$C$53</definedName>
    <definedName name="WF432AlabasterTraditional" localSheetId="6">'Price Lists'!$C$49</definedName>
    <definedName name="WF432AlabasterTraditionalAndContemporaryCombination" localSheetId="6">'Price Lists'!$C$56</definedName>
    <definedName name="Wf432List" localSheetId="1">'Price Lists'!#REF!</definedName>
    <definedName name="WF433Argento" localSheetId="6">'Price Lists'!$C$2:$C$5</definedName>
    <definedName name="WF433ArgentoContemporary" localSheetId="6">'Price Lists'!$C$52:$C$53</definedName>
    <definedName name="WF433ArgentoTraditional" localSheetId="6">'Price Lists'!$C$49</definedName>
    <definedName name="Wf433ArgentoTraditionalAndContemporaryCombination" localSheetId="6">'Price Lists'!$C$56</definedName>
    <definedName name="Wf433List" localSheetId="1">'Price Lists'!#REF!</definedName>
    <definedName name="WF434Gibraltar" localSheetId="6">'Price Lists'!$C$2:$C$5</definedName>
    <definedName name="WF434GibraltarContemporary" localSheetId="6">'Price Lists'!$C$52:$C$53</definedName>
    <definedName name="Wf434List" localSheetId="1">'Price Lists'!#REF!</definedName>
    <definedName name="Wf435List" localSheetId="1">'Price Lists'!#REF!</definedName>
    <definedName name="WF435Palomino" localSheetId="6">'Price Lists'!$C$2:$C$5</definedName>
    <definedName name="WF435PalominoContemporary" localSheetId="6">'Price Lists'!$C$52:$C$53</definedName>
    <definedName name="WF436Kodiak" localSheetId="6">'Price Lists'!$C$2:$C$5</definedName>
    <definedName name="Wf436KodiakContemporary" localSheetId="6">'Price Lists'!$C$52:$C$53</definedName>
    <definedName name="Wf436List" localSheetId="1">'Price Lists'!#REF!</definedName>
    <definedName name="WideNarrowCombo4544.4482">'Price Lists'!$C$25</definedName>
    <definedName name="WideNarrowCombo45444482">'Price Lists'!$C$25</definedName>
    <definedName name="WideTraditional">'Price Lists'!$C$8:$C$10</definedName>
    <definedName name="WideTraditional4544">'Price Lists'!$C$8:$C$10</definedName>
  </definedNames>
  <calcPr calcId="191029"/>
  <pivotCaches>
    <pivotCache cacheId="4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" i="11" l="1"/>
  <c r="K14" i="11"/>
  <c r="K12" i="11"/>
  <c r="K10" i="11"/>
  <c r="K8" i="11"/>
  <c r="K6" i="11"/>
  <c r="K4" i="11"/>
  <c r="K3" i="11"/>
  <c r="K2" i="11"/>
  <c r="G26" i="12" l="1"/>
  <c r="I26" i="12" s="1"/>
  <c r="H26" i="12"/>
  <c r="G27" i="12"/>
  <c r="I27" i="12" s="1"/>
  <c r="H27" i="12"/>
  <c r="G28" i="12"/>
  <c r="I28" i="12" s="1"/>
  <c r="H28" i="12"/>
  <c r="G29" i="12"/>
  <c r="H29" i="12"/>
  <c r="I29" i="12"/>
  <c r="G30" i="12"/>
  <c r="I30" i="12" s="1"/>
  <c r="H30" i="12"/>
  <c r="G31" i="12"/>
  <c r="H31" i="12"/>
  <c r="G32" i="12"/>
  <c r="I32" i="12" s="1"/>
  <c r="H32" i="12"/>
  <c r="G33" i="12"/>
  <c r="H33" i="12"/>
  <c r="I33" i="12"/>
  <c r="G34" i="12"/>
  <c r="H34" i="12"/>
  <c r="G35" i="12"/>
  <c r="H35" i="12"/>
  <c r="I35" i="12"/>
  <c r="G36" i="12"/>
  <c r="H36" i="12"/>
  <c r="G37" i="12"/>
  <c r="H37" i="12"/>
  <c r="I37" i="12"/>
  <c r="G38" i="12"/>
  <c r="H38" i="12"/>
  <c r="I38" i="12"/>
  <c r="G39" i="12"/>
  <c r="H39" i="12"/>
  <c r="G40" i="12"/>
  <c r="I40" i="12" s="1"/>
  <c r="H40" i="12"/>
  <c r="G41" i="12"/>
  <c r="H41" i="12"/>
  <c r="I41" i="12"/>
  <c r="G42" i="12"/>
  <c r="I42" i="12" s="1"/>
  <c r="H42" i="12"/>
  <c r="G43" i="12"/>
  <c r="I43" i="12" s="1"/>
  <c r="H43" i="12"/>
  <c r="G44" i="12"/>
  <c r="I44" i="12" s="1"/>
  <c r="H44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I34" i="12" l="1"/>
  <c r="I39" i="12"/>
  <c r="I31" i="12"/>
  <c r="I36" i="12"/>
  <c r="D28" i="17" l="1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A65" i="17" l="1"/>
  <c r="E44" i="16" l="1"/>
  <c r="I23" i="16"/>
  <c r="H24" i="16"/>
  <c r="I24" i="16"/>
  <c r="B26" i="10" l="1"/>
  <c r="B27" i="10"/>
  <c r="B28" i="10"/>
  <c r="B29" i="10"/>
  <c r="B30" i="10"/>
  <c r="B31" i="10"/>
  <c r="B32" i="10"/>
  <c r="B33" i="10"/>
  <c r="B34" i="10"/>
  <c r="B35" i="10"/>
  <c r="B36" i="10"/>
  <c r="B37" i="10"/>
  <c r="B37" i="12" l="1"/>
  <c r="A28" i="16"/>
  <c r="B36" i="12"/>
  <c r="A27" i="16"/>
  <c r="B35" i="12"/>
  <c r="A26" i="16"/>
  <c r="B34" i="12"/>
  <c r="A25" i="16"/>
  <c r="B33" i="12"/>
  <c r="A24" i="16"/>
  <c r="B32" i="12"/>
  <c r="A23" i="16"/>
  <c r="B31" i="12"/>
  <c r="A22" i="16"/>
  <c r="B30" i="12"/>
  <c r="A21" i="16"/>
  <c r="B29" i="12"/>
  <c r="A20" i="16"/>
  <c r="B28" i="12"/>
  <c r="A19" i="16"/>
  <c r="B27" i="12"/>
  <c r="A18" i="16"/>
  <c r="B26" i="12"/>
  <c r="A17" i="16"/>
  <c r="K35" i="10"/>
  <c r="J35" i="10"/>
  <c r="J35" i="12" s="1"/>
  <c r="I35" i="10"/>
  <c r="C26" i="16" s="1"/>
  <c r="D35" i="10"/>
  <c r="C35" i="10"/>
  <c r="C35" i="12" s="1"/>
  <c r="K34" i="10"/>
  <c r="J34" i="10"/>
  <c r="J34" i="12" s="1"/>
  <c r="I34" i="10"/>
  <c r="C25" i="16" s="1"/>
  <c r="D34" i="10"/>
  <c r="C34" i="10"/>
  <c r="C34" i="12" s="1"/>
  <c r="K33" i="10"/>
  <c r="J33" i="10"/>
  <c r="J33" i="12" s="1"/>
  <c r="I33" i="10"/>
  <c r="C24" i="16" s="1"/>
  <c r="D33" i="10"/>
  <c r="C33" i="10"/>
  <c r="F36" i="17" s="1"/>
  <c r="K32" i="10"/>
  <c r="J32" i="10"/>
  <c r="J32" i="12" s="1"/>
  <c r="I32" i="10"/>
  <c r="C23" i="16" s="1"/>
  <c r="D32" i="10"/>
  <c r="C32" i="10"/>
  <c r="C32" i="12" s="1"/>
  <c r="K31" i="10"/>
  <c r="J31" i="10"/>
  <c r="J31" i="12" s="1"/>
  <c r="I31" i="10"/>
  <c r="C22" i="16" s="1"/>
  <c r="D31" i="10"/>
  <c r="C31" i="10"/>
  <c r="C31" i="12" s="1"/>
  <c r="K30" i="10"/>
  <c r="J30" i="10"/>
  <c r="J30" i="12" s="1"/>
  <c r="I30" i="10"/>
  <c r="C21" i="16" s="1"/>
  <c r="D30" i="10"/>
  <c r="C30" i="10"/>
  <c r="C30" i="12" s="1"/>
  <c r="K29" i="10"/>
  <c r="J29" i="10"/>
  <c r="J29" i="12" s="1"/>
  <c r="I29" i="10"/>
  <c r="C20" i="16" s="1"/>
  <c r="D29" i="10"/>
  <c r="C29" i="10"/>
  <c r="F32" i="17" s="1"/>
  <c r="K28" i="10"/>
  <c r="J28" i="10"/>
  <c r="J28" i="12" s="1"/>
  <c r="I28" i="10"/>
  <c r="C19" i="16" s="1"/>
  <c r="D28" i="10"/>
  <c r="C28" i="10"/>
  <c r="C28" i="12" s="1"/>
  <c r="K27" i="10"/>
  <c r="J27" i="10"/>
  <c r="J27" i="12" s="1"/>
  <c r="I27" i="10"/>
  <c r="C18" i="16" s="1"/>
  <c r="D27" i="10"/>
  <c r="C27" i="10"/>
  <c r="C27" i="12" s="1"/>
  <c r="K26" i="10"/>
  <c r="J26" i="10"/>
  <c r="J26" i="12" s="1"/>
  <c r="I26" i="10"/>
  <c r="C17" i="16" s="1"/>
  <c r="D26" i="10"/>
  <c r="C26" i="10"/>
  <c r="C26" i="12" s="1"/>
  <c r="F38" i="17" l="1"/>
  <c r="F29" i="17"/>
  <c r="F35" i="17"/>
  <c r="K28" i="12"/>
  <c r="E31" i="17"/>
  <c r="D31" i="12"/>
  <c r="C34" i="17"/>
  <c r="P26" i="12"/>
  <c r="P32" i="12"/>
  <c r="P35" i="12"/>
  <c r="D27" i="12"/>
  <c r="E27" i="12" s="1"/>
  <c r="C30" i="17"/>
  <c r="A30" i="17" s="1"/>
  <c r="K29" i="12"/>
  <c r="E32" i="17"/>
  <c r="E32" i="10"/>
  <c r="F32" i="10" s="1"/>
  <c r="F32" i="12" s="1"/>
  <c r="D32" i="12"/>
  <c r="E32" i="12" s="1"/>
  <c r="C35" i="17"/>
  <c r="A35" i="17" s="1"/>
  <c r="F33" i="17"/>
  <c r="D29" i="12"/>
  <c r="C32" i="17"/>
  <c r="A32" i="17" s="1"/>
  <c r="K34" i="12"/>
  <c r="E37" i="17"/>
  <c r="F30" i="17"/>
  <c r="K33" i="12"/>
  <c r="E36" i="17"/>
  <c r="K26" i="12"/>
  <c r="E29" i="17"/>
  <c r="D34" i="12"/>
  <c r="C37" i="17"/>
  <c r="A37" i="17" s="1"/>
  <c r="P27" i="12"/>
  <c r="P30" i="12"/>
  <c r="K31" i="12"/>
  <c r="E34" i="17"/>
  <c r="E30" i="10"/>
  <c r="F30" i="10" s="1"/>
  <c r="F30" i="12" s="1"/>
  <c r="D30" i="12"/>
  <c r="E30" i="12" s="1"/>
  <c r="C33" i="17"/>
  <c r="K32" i="12"/>
  <c r="E35" i="17"/>
  <c r="D35" i="12"/>
  <c r="O35" i="12" s="1"/>
  <c r="C38" i="17"/>
  <c r="K27" i="12"/>
  <c r="E30" i="17"/>
  <c r="E33" i="10"/>
  <c r="F33" i="10" s="1"/>
  <c r="F33" i="12" s="1"/>
  <c r="C33" i="12"/>
  <c r="P33" i="12" s="1"/>
  <c r="F34" i="17"/>
  <c r="F37" i="17"/>
  <c r="E29" i="10"/>
  <c r="F29" i="10" s="1"/>
  <c r="F29" i="12" s="1"/>
  <c r="C29" i="12"/>
  <c r="E29" i="12" s="1"/>
  <c r="D28" i="12"/>
  <c r="C31" i="17"/>
  <c r="A31" i="17" s="1"/>
  <c r="K30" i="12"/>
  <c r="E33" i="17"/>
  <c r="D33" i="12"/>
  <c r="C36" i="17"/>
  <c r="A36" i="17" s="1"/>
  <c r="F31" i="17"/>
  <c r="D26" i="12"/>
  <c r="E26" i="12" s="1"/>
  <c r="C29" i="17"/>
  <c r="K35" i="12"/>
  <c r="E38" i="17"/>
  <c r="P28" i="12"/>
  <c r="E28" i="12"/>
  <c r="P31" i="12"/>
  <c r="E31" i="12"/>
  <c r="P34" i="12"/>
  <c r="E34" i="12"/>
  <c r="E26" i="10"/>
  <c r="F26" i="10" s="1"/>
  <c r="F26" i="12" s="1"/>
  <c r="E34" i="10"/>
  <c r="F34" i="10" s="1"/>
  <c r="F34" i="12" s="1"/>
  <c r="E28" i="10"/>
  <c r="F28" i="10" s="1"/>
  <c r="F28" i="12" s="1"/>
  <c r="E27" i="10"/>
  <c r="F27" i="10" s="1"/>
  <c r="F27" i="12" s="1"/>
  <c r="E31" i="10"/>
  <c r="F31" i="10" s="1"/>
  <c r="F31" i="12" s="1"/>
  <c r="E35" i="10"/>
  <c r="F35" i="10" s="1"/>
  <c r="F35" i="12" s="1"/>
  <c r="A38" i="17" l="1"/>
  <c r="A34" i="17"/>
  <c r="B34" i="17" s="1"/>
  <c r="E22" i="16" s="1"/>
  <c r="A33" i="17"/>
  <c r="B33" i="17" s="1"/>
  <c r="E21" i="16" s="1"/>
  <c r="B30" i="17"/>
  <c r="E18" i="16" s="1"/>
  <c r="L27" i="10"/>
  <c r="L35" i="10"/>
  <c r="B38" i="17"/>
  <c r="E26" i="16" s="1"/>
  <c r="D26" i="16" s="1"/>
  <c r="B35" i="17"/>
  <c r="E23" i="16" s="1"/>
  <c r="L32" i="10"/>
  <c r="E33" i="12"/>
  <c r="O33" i="12"/>
  <c r="O32" i="12"/>
  <c r="P29" i="12"/>
  <c r="B37" i="17"/>
  <c r="E25" i="16" s="1"/>
  <c r="L34" i="10"/>
  <c r="O34" i="12"/>
  <c r="B31" i="17"/>
  <c r="E19" i="16" s="1"/>
  <c r="L28" i="10"/>
  <c r="O29" i="12"/>
  <c r="O31" i="12"/>
  <c r="O27" i="12"/>
  <c r="O30" i="12"/>
  <c r="O28" i="12"/>
  <c r="O26" i="12"/>
  <c r="B36" i="17"/>
  <c r="E24" i="16" s="1"/>
  <c r="L33" i="10"/>
  <c r="B32" i="17"/>
  <c r="E20" i="16" s="1"/>
  <c r="L29" i="10"/>
  <c r="A29" i="17"/>
  <c r="E35" i="12"/>
  <c r="I44" i="11"/>
  <c r="K44" i="11" s="1"/>
  <c r="I43" i="11"/>
  <c r="I42" i="11"/>
  <c r="I41" i="11"/>
  <c r="K41" i="11"/>
  <c r="I32" i="11"/>
  <c r="I33" i="11"/>
  <c r="I34" i="11"/>
  <c r="I35" i="11"/>
  <c r="I36" i="11"/>
  <c r="I37" i="11"/>
  <c r="I38" i="11"/>
  <c r="I39" i="11"/>
  <c r="I40" i="11"/>
  <c r="I31" i="11"/>
  <c r="L31" i="10" l="1"/>
  <c r="L30" i="10"/>
  <c r="B29" i="17"/>
  <c r="E17" i="16" s="1"/>
  <c r="L26" i="10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562" i="15" l="1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866" i="15" l="1"/>
  <c r="J867" i="15"/>
  <c r="J868" i="15"/>
  <c r="J869" i="15"/>
  <c r="J870" i="15"/>
  <c r="J871" i="15"/>
  <c r="J872" i="15"/>
  <c r="J831" i="15"/>
  <c r="J832" i="15"/>
  <c r="J833" i="15"/>
  <c r="J834" i="15"/>
  <c r="J835" i="15"/>
  <c r="J836" i="15"/>
  <c r="J837" i="15"/>
  <c r="J796" i="15"/>
  <c r="J797" i="15"/>
  <c r="J798" i="15"/>
  <c r="J799" i="15"/>
  <c r="J800" i="15"/>
  <c r="J801" i="15"/>
  <c r="J802" i="15"/>
  <c r="J761" i="15"/>
  <c r="J762" i="15"/>
  <c r="J763" i="15"/>
  <c r="J764" i="15"/>
  <c r="J765" i="15"/>
  <c r="J766" i="15"/>
  <c r="J767" i="15"/>
  <c r="J726" i="15"/>
  <c r="J727" i="15"/>
  <c r="J728" i="15"/>
  <c r="J729" i="15"/>
  <c r="J730" i="15"/>
  <c r="J731" i="15"/>
  <c r="J732" i="15"/>
  <c r="J691" i="15"/>
  <c r="J692" i="15"/>
  <c r="J693" i="15"/>
  <c r="J694" i="15"/>
  <c r="J695" i="15"/>
  <c r="J696" i="15"/>
  <c r="J697" i="15"/>
  <c r="J656" i="15"/>
  <c r="J657" i="15"/>
  <c r="J658" i="15"/>
  <c r="J659" i="15"/>
  <c r="J660" i="15"/>
  <c r="J661" i="15"/>
  <c r="J662" i="15"/>
  <c r="J613" i="15"/>
  <c r="J614" i="15"/>
  <c r="J615" i="15"/>
  <c r="J616" i="15"/>
  <c r="J617" i="15"/>
  <c r="J618" i="15"/>
  <c r="J619" i="15"/>
  <c r="J578" i="15"/>
  <c r="J579" i="15"/>
  <c r="J580" i="15"/>
  <c r="J581" i="15"/>
  <c r="J582" i="15"/>
  <c r="J583" i="15"/>
  <c r="J584" i="15"/>
  <c r="J508" i="15"/>
  <c r="J509" i="15"/>
  <c r="J510" i="15"/>
  <c r="J511" i="15"/>
  <c r="J512" i="15"/>
  <c r="J513" i="15"/>
  <c r="J514" i="15"/>
  <c r="J438" i="15"/>
  <c r="J439" i="15"/>
  <c r="J440" i="15"/>
  <c r="J441" i="15"/>
  <c r="J442" i="15"/>
  <c r="J443" i="15"/>
  <c r="J444" i="15"/>
  <c r="J403" i="15"/>
  <c r="J404" i="15"/>
  <c r="J405" i="15"/>
  <c r="J406" i="15"/>
  <c r="J407" i="15"/>
  <c r="J408" i="15"/>
  <c r="J409" i="15"/>
  <c r="J368" i="15"/>
  <c r="J369" i="15"/>
  <c r="J370" i="15"/>
  <c r="J371" i="15"/>
  <c r="J372" i="15"/>
  <c r="J373" i="15"/>
  <c r="J374" i="15"/>
  <c r="J333" i="15"/>
  <c r="J334" i="15"/>
  <c r="J335" i="15"/>
  <c r="J336" i="15"/>
  <c r="J337" i="15"/>
  <c r="J338" i="15"/>
  <c r="J339" i="15"/>
  <c r="J298" i="15"/>
  <c r="J299" i="15"/>
  <c r="J300" i="15"/>
  <c r="J301" i="15"/>
  <c r="J302" i="15"/>
  <c r="J303" i="15"/>
  <c r="J304" i="15"/>
  <c r="J263" i="15"/>
  <c r="J264" i="15"/>
  <c r="J265" i="15"/>
  <c r="J266" i="15"/>
  <c r="J267" i="15"/>
  <c r="J268" i="15"/>
  <c r="J269" i="15"/>
  <c r="J228" i="15"/>
  <c r="J229" i="15"/>
  <c r="J230" i="15"/>
  <c r="J231" i="15"/>
  <c r="J232" i="15"/>
  <c r="J233" i="15"/>
  <c r="J234" i="15"/>
  <c r="J193" i="15"/>
  <c r="J194" i="15"/>
  <c r="J195" i="15"/>
  <c r="J196" i="15"/>
  <c r="J197" i="15"/>
  <c r="J198" i="15"/>
  <c r="J199" i="15"/>
  <c r="J158" i="15"/>
  <c r="J159" i="15"/>
  <c r="J160" i="15"/>
  <c r="J161" i="15"/>
  <c r="J162" i="15"/>
  <c r="J163" i="15"/>
  <c r="J164" i="15"/>
  <c r="J123" i="15"/>
  <c r="J124" i="15"/>
  <c r="J125" i="15"/>
  <c r="J126" i="15"/>
  <c r="J127" i="15"/>
  <c r="J128" i="15"/>
  <c r="J129" i="15"/>
  <c r="J88" i="15"/>
  <c r="J89" i="15"/>
  <c r="J90" i="15"/>
  <c r="J91" i="15"/>
  <c r="J92" i="15"/>
  <c r="J93" i="15"/>
  <c r="J94" i="15"/>
  <c r="J53" i="15"/>
  <c r="J54" i="15"/>
  <c r="J55" i="15"/>
  <c r="J56" i="15"/>
  <c r="J57" i="15"/>
  <c r="J58" i="15"/>
  <c r="J59" i="15"/>
  <c r="J18" i="15"/>
  <c r="J19" i="15"/>
  <c r="J20" i="15"/>
  <c r="J21" i="15"/>
  <c r="J22" i="15"/>
  <c r="J23" i="15"/>
  <c r="J24" i="15"/>
  <c r="K16" i="10" l="1"/>
  <c r="J850" i="15" l="1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K44" i="10" l="1"/>
  <c r="K43" i="10"/>
  <c r="K42" i="10"/>
  <c r="K41" i="10"/>
  <c r="K40" i="10"/>
  <c r="K39" i="10"/>
  <c r="K38" i="10"/>
  <c r="K37" i="10"/>
  <c r="K36" i="10"/>
  <c r="K25" i="10"/>
  <c r="E28" i="17" s="1"/>
  <c r="K24" i="10"/>
  <c r="K23" i="10"/>
  <c r="K22" i="10"/>
  <c r="K21" i="10"/>
  <c r="K20" i="10"/>
  <c r="K19" i="10"/>
  <c r="K18" i="10"/>
  <c r="K40" i="12" l="1"/>
  <c r="E43" i="17"/>
  <c r="K41" i="12"/>
  <c r="E44" i="17"/>
  <c r="K39" i="12"/>
  <c r="E42" i="17"/>
  <c r="K42" i="12"/>
  <c r="E45" i="17"/>
  <c r="K36" i="12"/>
  <c r="E39" i="17"/>
  <c r="K38" i="12"/>
  <c r="E41" i="17"/>
  <c r="K43" i="12"/>
  <c r="E46" i="17"/>
  <c r="K37" i="12"/>
  <c r="E40" i="17"/>
  <c r="K44" i="12"/>
  <c r="E47" i="17"/>
  <c r="K17" i="10"/>
  <c r="C16" i="10"/>
  <c r="B16" i="10" l="1"/>
  <c r="B17" i="10"/>
  <c r="D17" i="10" s="1"/>
  <c r="C17" i="10"/>
  <c r="B18" i="10"/>
  <c r="C18" i="10" s="1"/>
  <c r="D44" i="10"/>
  <c r="C44" i="10"/>
  <c r="C44" i="12" s="1"/>
  <c r="D43" i="10"/>
  <c r="C43" i="10"/>
  <c r="C43" i="12" s="1"/>
  <c r="D42" i="10"/>
  <c r="C42" i="10"/>
  <c r="C42" i="12" s="1"/>
  <c r="D41" i="10"/>
  <c r="C41" i="10"/>
  <c r="C41" i="12" s="1"/>
  <c r="D40" i="10"/>
  <c r="C40" i="10"/>
  <c r="C40" i="12" s="1"/>
  <c r="D39" i="10"/>
  <c r="C39" i="10"/>
  <c r="C39" i="12" s="1"/>
  <c r="D38" i="10"/>
  <c r="C38" i="10"/>
  <c r="C38" i="12" s="1"/>
  <c r="D37" i="10"/>
  <c r="C37" i="10"/>
  <c r="D36" i="10"/>
  <c r="C36" i="10"/>
  <c r="D25" i="10"/>
  <c r="C28" i="17" s="1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B20" i="10"/>
  <c r="B21" i="10"/>
  <c r="B19" i="10"/>
  <c r="B22" i="10"/>
  <c r="J873" i="15"/>
  <c r="J874" i="15"/>
  <c r="J875" i="15"/>
  <c r="J876" i="15"/>
  <c r="J877" i="15"/>
  <c r="J878" i="15"/>
  <c r="J879" i="15"/>
  <c r="J880" i="15"/>
  <c r="J881" i="15"/>
  <c r="J882" i="15"/>
  <c r="J883" i="15"/>
  <c r="J768" i="15"/>
  <c r="J769" i="15"/>
  <c r="J770" i="15"/>
  <c r="J771" i="15"/>
  <c r="J772" i="15"/>
  <c r="J773" i="15"/>
  <c r="J774" i="15"/>
  <c r="J775" i="15"/>
  <c r="J776" i="15"/>
  <c r="J777" i="15"/>
  <c r="J778" i="15"/>
  <c r="J733" i="15"/>
  <c r="J734" i="15"/>
  <c r="J735" i="15"/>
  <c r="J736" i="15"/>
  <c r="J737" i="15"/>
  <c r="J738" i="15"/>
  <c r="J739" i="15"/>
  <c r="J740" i="15"/>
  <c r="J741" i="15"/>
  <c r="J742" i="15"/>
  <c r="J743" i="15"/>
  <c r="J698" i="15"/>
  <c r="J699" i="15"/>
  <c r="J700" i="15"/>
  <c r="J701" i="15"/>
  <c r="J702" i="15"/>
  <c r="J703" i="15"/>
  <c r="J704" i="15"/>
  <c r="J705" i="15"/>
  <c r="J706" i="15"/>
  <c r="J707" i="15"/>
  <c r="J708" i="15"/>
  <c r="J663" i="15"/>
  <c r="J664" i="15"/>
  <c r="J665" i="15"/>
  <c r="J666" i="15"/>
  <c r="J667" i="15"/>
  <c r="J668" i="15"/>
  <c r="J669" i="15"/>
  <c r="J670" i="15"/>
  <c r="J671" i="15"/>
  <c r="J672" i="15"/>
  <c r="J673" i="15"/>
  <c r="J585" i="15"/>
  <c r="J586" i="15"/>
  <c r="J587" i="15"/>
  <c r="J588" i="15"/>
  <c r="J589" i="15"/>
  <c r="J590" i="15"/>
  <c r="J591" i="15"/>
  <c r="J592" i="15"/>
  <c r="J593" i="15"/>
  <c r="J594" i="15"/>
  <c r="J595" i="15"/>
  <c r="J515" i="15"/>
  <c r="J516" i="15"/>
  <c r="J517" i="15"/>
  <c r="J518" i="15"/>
  <c r="J519" i="15"/>
  <c r="J520" i="15"/>
  <c r="J521" i="15"/>
  <c r="J522" i="15"/>
  <c r="J523" i="15"/>
  <c r="J524" i="15"/>
  <c r="J525" i="15"/>
  <c r="J445" i="15"/>
  <c r="J446" i="15"/>
  <c r="J447" i="15"/>
  <c r="J448" i="15"/>
  <c r="J449" i="15"/>
  <c r="J450" i="15"/>
  <c r="J451" i="15"/>
  <c r="J452" i="15"/>
  <c r="J453" i="15"/>
  <c r="J454" i="15"/>
  <c r="J455" i="15"/>
  <c r="J410" i="15"/>
  <c r="J411" i="15"/>
  <c r="J412" i="15"/>
  <c r="J413" i="15"/>
  <c r="J414" i="15"/>
  <c r="J415" i="15"/>
  <c r="J416" i="15"/>
  <c r="J417" i="15"/>
  <c r="J418" i="15"/>
  <c r="J419" i="15"/>
  <c r="J420" i="15"/>
  <c r="J375" i="15"/>
  <c r="J376" i="15"/>
  <c r="J377" i="15"/>
  <c r="J378" i="15"/>
  <c r="J379" i="15"/>
  <c r="J380" i="15"/>
  <c r="J381" i="15"/>
  <c r="J382" i="15"/>
  <c r="J383" i="15"/>
  <c r="J384" i="15"/>
  <c r="J385" i="15"/>
  <c r="J340" i="15"/>
  <c r="J341" i="15"/>
  <c r="J342" i="15"/>
  <c r="J343" i="15"/>
  <c r="J344" i="15"/>
  <c r="J345" i="15"/>
  <c r="J346" i="15"/>
  <c r="J347" i="15"/>
  <c r="J348" i="15"/>
  <c r="J349" i="15"/>
  <c r="J350" i="15"/>
  <c r="J305" i="15"/>
  <c r="J306" i="15"/>
  <c r="J307" i="15"/>
  <c r="J308" i="15"/>
  <c r="J309" i="15"/>
  <c r="J310" i="15"/>
  <c r="J311" i="15"/>
  <c r="J312" i="15"/>
  <c r="J313" i="15"/>
  <c r="J314" i="15"/>
  <c r="J315" i="15"/>
  <c r="J270" i="15"/>
  <c r="J271" i="15"/>
  <c r="J272" i="15"/>
  <c r="J273" i="15"/>
  <c r="J274" i="15"/>
  <c r="J275" i="15"/>
  <c r="J276" i="15"/>
  <c r="J277" i="15"/>
  <c r="J278" i="15"/>
  <c r="J279" i="15"/>
  <c r="J280" i="15"/>
  <c r="J235" i="15"/>
  <c r="J236" i="15"/>
  <c r="J237" i="15"/>
  <c r="J238" i="15"/>
  <c r="J239" i="15"/>
  <c r="J240" i="15"/>
  <c r="J241" i="15"/>
  <c r="J242" i="15"/>
  <c r="J243" i="15"/>
  <c r="J244" i="15"/>
  <c r="J245" i="15"/>
  <c r="J200" i="15"/>
  <c r="J201" i="15"/>
  <c r="J202" i="15"/>
  <c r="J203" i="15"/>
  <c r="J204" i="15"/>
  <c r="J205" i="15"/>
  <c r="J206" i="15"/>
  <c r="J207" i="15"/>
  <c r="J208" i="15"/>
  <c r="J209" i="15"/>
  <c r="J210" i="15"/>
  <c r="J165" i="15"/>
  <c r="J166" i="15"/>
  <c r="J167" i="15"/>
  <c r="J168" i="15"/>
  <c r="J169" i="15"/>
  <c r="J170" i="15"/>
  <c r="J171" i="15"/>
  <c r="J172" i="15"/>
  <c r="J173" i="15"/>
  <c r="J174" i="15"/>
  <c r="J175" i="15"/>
  <c r="J130" i="15"/>
  <c r="J131" i="15"/>
  <c r="J132" i="15"/>
  <c r="J133" i="15"/>
  <c r="J134" i="15"/>
  <c r="J135" i="15"/>
  <c r="J136" i="15"/>
  <c r="J137" i="15"/>
  <c r="J138" i="15"/>
  <c r="J139" i="15"/>
  <c r="J140" i="15"/>
  <c r="J95" i="15"/>
  <c r="J96" i="15"/>
  <c r="J97" i="15"/>
  <c r="J98" i="15"/>
  <c r="J99" i="15"/>
  <c r="J100" i="15"/>
  <c r="J101" i="15"/>
  <c r="J102" i="15"/>
  <c r="J103" i="15"/>
  <c r="J104" i="15"/>
  <c r="J105" i="15"/>
  <c r="J60" i="15"/>
  <c r="J61" i="15"/>
  <c r="J62" i="15"/>
  <c r="J63" i="15"/>
  <c r="J64" i="15"/>
  <c r="J65" i="15"/>
  <c r="J66" i="15"/>
  <c r="J67" i="15"/>
  <c r="J68" i="15"/>
  <c r="J69" i="15"/>
  <c r="J70" i="15"/>
  <c r="D42" i="12" l="1"/>
  <c r="O42" i="12" s="1"/>
  <c r="C45" i="17"/>
  <c r="D38" i="12"/>
  <c r="O38" i="12" s="1"/>
  <c r="C41" i="17"/>
  <c r="D44" i="12"/>
  <c r="O44" i="12" s="1"/>
  <c r="C47" i="17"/>
  <c r="C37" i="12"/>
  <c r="F40" i="17"/>
  <c r="D39" i="12"/>
  <c r="O39" i="12" s="1"/>
  <c r="C42" i="17"/>
  <c r="D36" i="12"/>
  <c r="O36" i="12" s="1"/>
  <c r="C39" i="17"/>
  <c r="D43" i="12"/>
  <c r="O43" i="12" s="1"/>
  <c r="C46" i="17"/>
  <c r="C36" i="12"/>
  <c r="F39" i="17"/>
  <c r="D40" i="12"/>
  <c r="O40" i="12" s="1"/>
  <c r="C43" i="17"/>
  <c r="D37" i="12"/>
  <c r="O37" i="12" s="1"/>
  <c r="C40" i="17"/>
  <c r="D41" i="12"/>
  <c r="O41" i="12" s="1"/>
  <c r="C44" i="17"/>
  <c r="D18" i="10"/>
  <c r="J35" i="15"/>
  <c r="J34" i="15"/>
  <c r="J33" i="15"/>
  <c r="J32" i="15"/>
  <c r="J31" i="15"/>
  <c r="J30" i="15"/>
  <c r="J29" i="15"/>
  <c r="J28" i="15"/>
  <c r="J27" i="15"/>
  <c r="J26" i="15"/>
  <c r="J25" i="15"/>
  <c r="E37" i="12" l="1"/>
  <c r="P37" i="12"/>
  <c r="P36" i="12"/>
  <c r="E36" i="12"/>
  <c r="D18" i="17"/>
  <c r="D19" i="17"/>
  <c r="D20" i="17"/>
  <c r="D21" i="17"/>
  <c r="D22" i="17"/>
  <c r="D23" i="17"/>
  <c r="D24" i="17"/>
  <c r="D25" i="17"/>
  <c r="D26" i="17"/>
  <c r="D27" i="17"/>
  <c r="A48" i="17"/>
  <c r="C55" i="17"/>
  <c r="A55" i="17" s="1"/>
  <c r="B55" i="17" s="1"/>
  <c r="D55" i="17"/>
  <c r="C56" i="17"/>
  <c r="A56" i="17" s="1"/>
  <c r="B56" i="17" s="1"/>
  <c r="C57" i="17"/>
  <c r="A57" i="17" s="1"/>
  <c r="B57" i="17" s="1"/>
  <c r="C58" i="17"/>
  <c r="A58" i="17" s="1"/>
  <c r="B58" i="17" s="1"/>
  <c r="C59" i="17"/>
  <c r="A59" i="17" s="1"/>
  <c r="B59" i="17" s="1"/>
  <c r="C60" i="17"/>
  <c r="A60" i="17" s="1"/>
  <c r="B60" i="17" s="1"/>
  <c r="A61" i="17"/>
  <c r="A62" i="17"/>
  <c r="A63" i="17" l="1"/>
  <c r="A50" i="17"/>
  <c r="E18" i="17"/>
  <c r="C18" i="17" l="1"/>
  <c r="F18" i="17"/>
  <c r="J16" i="10"/>
  <c r="I16" i="10"/>
  <c r="D16" i="10" l="1"/>
  <c r="E19" i="17"/>
  <c r="A15" i="12"/>
  <c r="B15" i="12"/>
  <c r="C19" i="17" l="1"/>
  <c r="A19" i="17" s="1"/>
  <c r="B19" i="17" s="1"/>
  <c r="F19" i="17"/>
  <c r="E16" i="10"/>
  <c r="F16" i="10" s="1"/>
  <c r="C15" i="12" l="1"/>
  <c r="D15" i="12" l="1"/>
  <c r="C7" i="16"/>
  <c r="A43" i="16" l="1"/>
  <c r="B43" i="16"/>
  <c r="A42" i="16"/>
  <c r="B42" i="16"/>
  <c r="A41" i="16"/>
  <c r="A40" i="16"/>
  <c r="A39" i="16"/>
  <c r="A38" i="16"/>
  <c r="A37" i="16"/>
  <c r="A36" i="16"/>
  <c r="A6" i="16"/>
  <c r="C3" i="16"/>
  <c r="D3" i="16"/>
  <c r="B3" i="16"/>
  <c r="A3" i="16"/>
  <c r="J885" i="15" l="1"/>
  <c r="J884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780" i="15"/>
  <c r="J779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A7" i="16" l="1"/>
  <c r="C37" i="16" l="1"/>
  <c r="C38" i="16"/>
  <c r="C39" i="16"/>
  <c r="C40" i="16"/>
  <c r="C41" i="16"/>
  <c r="C36" i="16"/>
  <c r="E27" i="17" l="1"/>
  <c r="E26" i="17"/>
  <c r="E25" i="17"/>
  <c r="E24" i="17"/>
  <c r="E20" i="17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27" i="15"/>
  <c r="J526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57" i="15"/>
  <c r="J456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17" i="15"/>
  <c r="J16" i="15"/>
  <c r="J15" i="15"/>
  <c r="J14" i="15"/>
  <c r="J13" i="15"/>
  <c r="J12" i="15"/>
  <c r="J11" i="15"/>
  <c r="J10" i="15"/>
  <c r="J9" i="15"/>
  <c r="J8" i="15"/>
  <c r="J7" i="15"/>
  <c r="J6" i="15"/>
  <c r="J5" i="15"/>
  <c r="J4" i="15"/>
  <c r="J3" i="15"/>
  <c r="G35" i="17" l="1"/>
  <c r="B23" i="16" s="1"/>
  <c r="G38" i="17"/>
  <c r="B26" i="16" s="1"/>
  <c r="G30" i="17"/>
  <c r="B18" i="16" s="1"/>
  <c r="G32" i="17"/>
  <c r="B20" i="16" s="1"/>
  <c r="G29" i="17"/>
  <c r="B17" i="16" s="1"/>
  <c r="G31" i="17"/>
  <c r="B19" i="16" s="1"/>
  <c r="G36" i="17"/>
  <c r="B24" i="16" s="1"/>
  <c r="G33" i="17"/>
  <c r="B21" i="16" s="1"/>
  <c r="G34" i="17"/>
  <c r="B22" i="16" s="1"/>
  <c r="G37" i="17"/>
  <c r="B25" i="16" s="1"/>
  <c r="E21" i="17"/>
  <c r="G55" i="17"/>
  <c r="B36" i="16" s="1"/>
  <c r="G18" i="17"/>
  <c r="G19" i="17"/>
  <c r="C20" i="17"/>
  <c r="C26" i="17" l="1"/>
  <c r="C21" i="17"/>
  <c r="F20" i="17"/>
  <c r="C25" i="17"/>
  <c r="C27" i="17"/>
  <c r="C24" i="17"/>
  <c r="A8" i="16"/>
  <c r="E15" i="10"/>
  <c r="B6" i="16"/>
  <c r="Q6" i="11"/>
  <c r="Q7" i="11" s="1"/>
  <c r="Q8" i="11" s="1"/>
  <c r="M66" i="10"/>
  <c r="Q9" i="11" l="1"/>
  <c r="Q10" i="11" s="1"/>
  <c r="Q11" i="11" s="1"/>
  <c r="N2" i="11"/>
  <c r="A45" i="12"/>
  <c r="B12" i="12"/>
  <c r="B7" i="16"/>
  <c r="J44" i="10"/>
  <c r="J44" i="12" s="1"/>
  <c r="I44" i="10"/>
  <c r="B44" i="10"/>
  <c r="J43" i="10"/>
  <c r="J43" i="12" s="1"/>
  <c r="I43" i="10"/>
  <c r="B43" i="10"/>
  <c r="J42" i="10"/>
  <c r="J42" i="12" s="1"/>
  <c r="I42" i="10"/>
  <c r="B42" i="10"/>
  <c r="J41" i="10"/>
  <c r="J41" i="12" s="1"/>
  <c r="I41" i="10"/>
  <c r="B41" i="10"/>
  <c r="J40" i="10"/>
  <c r="J40" i="12" s="1"/>
  <c r="I40" i="10"/>
  <c r="B40" i="10"/>
  <c r="J39" i="10"/>
  <c r="J39" i="12" s="1"/>
  <c r="I39" i="10"/>
  <c r="B39" i="10"/>
  <c r="J38" i="10"/>
  <c r="J38" i="12" s="1"/>
  <c r="I38" i="10"/>
  <c r="B38" i="10"/>
  <c r="J37" i="10"/>
  <c r="I37" i="10"/>
  <c r="J36" i="10"/>
  <c r="I36" i="10"/>
  <c r="J25" i="10"/>
  <c r="I25" i="10"/>
  <c r="B25" i="10"/>
  <c r="J24" i="10"/>
  <c r="I24" i="10"/>
  <c r="A27" i="17" s="1"/>
  <c r="B24" i="10"/>
  <c r="J23" i="10"/>
  <c r="I23" i="10"/>
  <c r="C14" i="16" s="1"/>
  <c r="B23" i="10"/>
  <c r="J22" i="10"/>
  <c r="I22" i="10"/>
  <c r="J21" i="10"/>
  <c r="I21" i="10"/>
  <c r="J20" i="10"/>
  <c r="I20" i="10"/>
  <c r="C11" i="16" s="1"/>
  <c r="J19" i="10"/>
  <c r="I19" i="10"/>
  <c r="J18" i="10"/>
  <c r="I18" i="10"/>
  <c r="C9" i="16" s="1"/>
  <c r="J17" i="10"/>
  <c r="G20" i="17" s="1"/>
  <c r="I17" i="10"/>
  <c r="A20" i="17" s="1"/>
  <c r="B20" i="17" s="1"/>
  <c r="F57" i="10"/>
  <c r="D60" i="17" s="1"/>
  <c r="G60" i="17" s="1"/>
  <c r="F56" i="10"/>
  <c r="D59" i="17" s="1"/>
  <c r="G59" i="17" s="1"/>
  <c r="F55" i="10"/>
  <c r="D58" i="17" s="1"/>
  <c r="G58" i="17" s="1"/>
  <c r="F54" i="10"/>
  <c r="D57" i="17" s="1"/>
  <c r="G57" i="17" s="1"/>
  <c r="F53" i="10"/>
  <c r="D56" i="17" s="1"/>
  <c r="G56" i="17" s="1"/>
  <c r="E41" i="16"/>
  <c r="D41" i="16" s="1"/>
  <c r="K56" i="10"/>
  <c r="K55" i="10"/>
  <c r="E38" i="16"/>
  <c r="D38" i="16" s="1"/>
  <c r="E37" i="16"/>
  <c r="D37" i="16" s="1"/>
  <c r="E42" i="16"/>
  <c r="M45" i="10"/>
  <c r="C30" i="16" l="1"/>
  <c r="A42" i="17"/>
  <c r="C34" i="16"/>
  <c r="A46" i="17"/>
  <c r="C31" i="16"/>
  <c r="A43" i="17"/>
  <c r="B39" i="12"/>
  <c r="F42" i="17"/>
  <c r="G42" i="17"/>
  <c r="B30" i="16" s="1"/>
  <c r="A30" i="16"/>
  <c r="B43" i="12"/>
  <c r="F46" i="17"/>
  <c r="G46" i="17"/>
  <c r="B34" i="16" s="1"/>
  <c r="A34" i="16"/>
  <c r="C16" i="16"/>
  <c r="A28" i="17"/>
  <c r="B28" i="17" s="1"/>
  <c r="E16" i="16" s="1"/>
  <c r="B40" i="12"/>
  <c r="F43" i="17"/>
  <c r="G43" i="17"/>
  <c r="B31" i="16" s="1"/>
  <c r="A31" i="16"/>
  <c r="B44" i="12"/>
  <c r="F47" i="17"/>
  <c r="G47" i="17"/>
  <c r="B35" i="16" s="1"/>
  <c r="A35" i="16"/>
  <c r="J36" i="12"/>
  <c r="G39" i="17"/>
  <c r="B27" i="16" s="1"/>
  <c r="B41" i="12"/>
  <c r="F44" i="17"/>
  <c r="G44" i="17"/>
  <c r="B32" i="16" s="1"/>
  <c r="A32" i="16"/>
  <c r="C28" i="16"/>
  <c r="A40" i="17"/>
  <c r="C32" i="16"/>
  <c r="A44" i="17"/>
  <c r="C27" i="16"/>
  <c r="A39" i="17"/>
  <c r="G26" i="17"/>
  <c r="B14" i="16" s="1"/>
  <c r="F26" i="17"/>
  <c r="J37" i="12"/>
  <c r="G40" i="17"/>
  <c r="B28" i="16" s="1"/>
  <c r="F28" i="17"/>
  <c r="G28" i="17"/>
  <c r="Q28" i="12"/>
  <c r="L28" i="12" s="1"/>
  <c r="Q30" i="12"/>
  <c r="L30" i="12" s="1"/>
  <c r="Q26" i="12"/>
  <c r="L26" i="12" s="1"/>
  <c r="Q31" i="12"/>
  <c r="L31" i="12" s="1"/>
  <c r="Q27" i="12"/>
  <c r="L27" i="12" s="1"/>
  <c r="Q29" i="12"/>
  <c r="L29" i="12" s="1"/>
  <c r="Q34" i="12"/>
  <c r="L34" i="12" s="1"/>
  <c r="Q32" i="12"/>
  <c r="L32" i="12" s="1"/>
  <c r="Q35" i="12"/>
  <c r="Q33" i="12"/>
  <c r="L33" i="12" s="1"/>
  <c r="Q40" i="12"/>
  <c r="Q36" i="12"/>
  <c r="Q44" i="12"/>
  <c r="Q42" i="12"/>
  <c r="Q41" i="12"/>
  <c r="Q38" i="12"/>
  <c r="Q43" i="12"/>
  <c r="Q37" i="12"/>
  <c r="Q39" i="12"/>
  <c r="C35" i="16"/>
  <c r="A47" i="17"/>
  <c r="B42" i="12"/>
  <c r="F45" i="17"/>
  <c r="G45" i="17"/>
  <c r="B33" i="16" s="1"/>
  <c r="A33" i="16"/>
  <c r="C29" i="16"/>
  <c r="A41" i="17"/>
  <c r="C33" i="16"/>
  <c r="A45" i="17"/>
  <c r="B38" i="12"/>
  <c r="F41" i="17"/>
  <c r="G41" i="17"/>
  <c r="B29" i="16" s="1"/>
  <c r="A29" i="16"/>
  <c r="F27" i="17"/>
  <c r="G27" i="17"/>
  <c r="B15" i="16" s="1"/>
  <c r="L44" i="11"/>
  <c r="L41" i="11"/>
  <c r="Q15" i="12"/>
  <c r="Q16" i="12"/>
  <c r="Q18" i="12"/>
  <c r="Q20" i="12"/>
  <c r="Q22" i="12"/>
  <c r="Q25" i="12"/>
  <c r="Q19" i="12"/>
  <c r="Q23" i="12"/>
  <c r="Q21" i="12"/>
  <c r="Q24" i="12"/>
  <c r="Q17" i="12"/>
  <c r="A21" i="17"/>
  <c r="B21" i="17" s="1"/>
  <c r="E23" i="17"/>
  <c r="C23" i="17"/>
  <c r="E22" i="17"/>
  <c r="C22" i="17"/>
  <c r="G24" i="17"/>
  <c r="B12" i="16" s="1"/>
  <c r="F24" i="17"/>
  <c r="A26" i="17"/>
  <c r="B26" i="17" s="1"/>
  <c r="F21" i="17"/>
  <c r="G21" i="17"/>
  <c r="B9" i="16" s="1"/>
  <c r="C12" i="16"/>
  <c r="A24" i="17"/>
  <c r="B24" i="17" s="1"/>
  <c r="C15" i="16"/>
  <c r="B27" i="17"/>
  <c r="G25" i="17"/>
  <c r="B13" i="16" s="1"/>
  <c r="F25" i="17"/>
  <c r="C13" i="16"/>
  <c r="A25" i="17"/>
  <c r="B25" i="17" s="1"/>
  <c r="B16" i="16"/>
  <c r="F23" i="17"/>
  <c r="G23" i="17"/>
  <c r="B11" i="16" s="1"/>
  <c r="B37" i="16"/>
  <c r="A12" i="16"/>
  <c r="A10" i="16"/>
  <c r="B38" i="16"/>
  <c r="A15" i="16"/>
  <c r="C10" i="16"/>
  <c r="B41" i="16"/>
  <c r="A16" i="16"/>
  <c r="B40" i="16"/>
  <c r="C8" i="16"/>
  <c r="A11" i="16"/>
  <c r="B8" i="16"/>
  <c r="A14" i="16"/>
  <c r="B39" i="16"/>
  <c r="L16" i="10"/>
  <c r="C42" i="16"/>
  <c r="D42" i="16" s="1"/>
  <c r="A9" i="16"/>
  <c r="A13" i="16"/>
  <c r="E18" i="10"/>
  <c r="F18" i="10" s="1"/>
  <c r="E20" i="10"/>
  <c r="F20" i="10" s="1"/>
  <c r="E22" i="10"/>
  <c r="F22" i="10" s="1"/>
  <c r="E24" i="10"/>
  <c r="F24" i="10" s="1"/>
  <c r="E37" i="10"/>
  <c r="F37" i="10" s="1"/>
  <c r="F37" i="12" s="1"/>
  <c r="E39" i="10"/>
  <c r="F39" i="10" s="1"/>
  <c r="F39" i="12" s="1"/>
  <c r="E41" i="10"/>
  <c r="F41" i="10" s="1"/>
  <c r="F41" i="12" s="1"/>
  <c r="E40" i="16"/>
  <c r="D40" i="16" s="1"/>
  <c r="E43" i="10"/>
  <c r="F43" i="10" s="1"/>
  <c r="F43" i="12" s="1"/>
  <c r="E39" i="16"/>
  <c r="D39" i="16" s="1"/>
  <c r="M47" i="10"/>
  <c r="E17" i="10"/>
  <c r="F17" i="10" s="1"/>
  <c r="E19" i="10"/>
  <c r="F19" i="10" s="1"/>
  <c r="E21" i="10"/>
  <c r="F21" i="10" s="1"/>
  <c r="E23" i="10"/>
  <c r="F23" i="10" s="1"/>
  <c r="E25" i="10"/>
  <c r="F25" i="10" s="1"/>
  <c r="E36" i="10"/>
  <c r="F36" i="10" s="1"/>
  <c r="F36" i="12" s="1"/>
  <c r="E38" i="10"/>
  <c r="F38" i="10" s="1"/>
  <c r="F38" i="12" s="1"/>
  <c r="E40" i="10"/>
  <c r="F40" i="10" s="1"/>
  <c r="F40" i="12" s="1"/>
  <c r="E42" i="10"/>
  <c r="F42" i="10" s="1"/>
  <c r="F42" i="12" s="1"/>
  <c r="E44" i="10"/>
  <c r="F44" i="10" s="1"/>
  <c r="F44" i="12" s="1"/>
  <c r="E43" i="16"/>
  <c r="K53" i="10"/>
  <c r="K57" i="10"/>
  <c r="K54" i="10"/>
  <c r="M59" i="10"/>
  <c r="N30" i="12" l="1"/>
  <c r="M30" i="12"/>
  <c r="B40" i="17"/>
  <c r="E28" i="16" s="1"/>
  <c r="D28" i="16" s="1"/>
  <c r="L37" i="10"/>
  <c r="M28" i="12"/>
  <c r="N28" i="12"/>
  <c r="P39" i="12"/>
  <c r="E39" i="12"/>
  <c r="M26" i="12"/>
  <c r="N26" i="12"/>
  <c r="P44" i="12"/>
  <c r="E44" i="12"/>
  <c r="L40" i="10"/>
  <c r="B43" i="17"/>
  <c r="E31" i="16" s="1"/>
  <c r="D31" i="16" s="1"/>
  <c r="M27" i="12"/>
  <c r="N27" i="12"/>
  <c r="N31" i="12"/>
  <c r="M31" i="12"/>
  <c r="B41" i="17"/>
  <c r="E29" i="16" s="1"/>
  <c r="D29" i="16" s="1"/>
  <c r="L38" i="10"/>
  <c r="E40" i="12"/>
  <c r="P40" i="12"/>
  <c r="E38" i="12"/>
  <c r="P38" i="12"/>
  <c r="E43" i="12"/>
  <c r="P43" i="12"/>
  <c r="N33" i="12"/>
  <c r="M33" i="12"/>
  <c r="B46" i="17"/>
  <c r="E34" i="16" s="1"/>
  <c r="D34" i="16" s="1"/>
  <c r="L43" i="10"/>
  <c r="M29" i="12"/>
  <c r="N29" i="12"/>
  <c r="P42" i="12"/>
  <c r="E42" i="12"/>
  <c r="B47" i="17"/>
  <c r="E35" i="16" s="1"/>
  <c r="D35" i="16" s="1"/>
  <c r="L44" i="10"/>
  <c r="P41" i="12"/>
  <c r="E41" i="12"/>
  <c r="M32" i="12"/>
  <c r="N32" i="12"/>
  <c r="B42" i="17"/>
  <c r="E30" i="16" s="1"/>
  <c r="D30" i="16" s="1"/>
  <c r="L39" i="10"/>
  <c r="L36" i="10"/>
  <c r="B39" i="17"/>
  <c r="E27" i="16" s="1"/>
  <c r="D27" i="16" s="1"/>
  <c r="B45" i="17"/>
  <c r="E33" i="16" s="1"/>
  <c r="D33" i="16" s="1"/>
  <c r="L42" i="10"/>
  <c r="B44" i="17"/>
  <c r="E32" i="16" s="1"/>
  <c r="D32" i="16" s="1"/>
  <c r="L41" i="10"/>
  <c r="M34" i="12"/>
  <c r="N34" i="12"/>
  <c r="M26" i="10"/>
  <c r="N26" i="10"/>
  <c r="M35" i="10"/>
  <c r="N35" i="10"/>
  <c r="M30" i="10"/>
  <c r="N30" i="10"/>
  <c r="A23" i="17"/>
  <c r="B23" i="17" s="1"/>
  <c r="G22" i="17"/>
  <c r="B10" i="16" s="1"/>
  <c r="F22" i="17"/>
  <c r="A22" i="17"/>
  <c r="B22" i="17" s="1"/>
  <c r="N16" i="10"/>
  <c r="M16" i="10"/>
  <c r="C43" i="16"/>
  <c r="D43" i="16" s="1"/>
  <c r="M31" i="10" l="1"/>
  <c r="N31" i="10"/>
  <c r="N33" i="10"/>
  <c r="M33" i="10"/>
  <c r="N32" i="10"/>
  <c r="M32" i="10"/>
  <c r="M34" i="10"/>
  <c r="N34" i="10"/>
  <c r="N27" i="10"/>
  <c r="M27" i="10"/>
  <c r="N28" i="10"/>
  <c r="M28" i="10"/>
  <c r="N29" i="10"/>
  <c r="M29" i="10"/>
  <c r="K52" i="10"/>
  <c r="M52" i="10" s="1"/>
  <c r="E36" i="16" l="1"/>
  <c r="D36" i="16" s="1"/>
  <c r="M40" i="10" l="1"/>
  <c r="K61" i="10"/>
  <c r="N40" i="10" l="1"/>
  <c r="E10" i="16"/>
  <c r="L19" i="10"/>
  <c r="M19" i="10" s="1"/>
  <c r="M44" i="10"/>
  <c r="M37" i="10"/>
  <c r="M38" i="10"/>
  <c r="E14" i="16"/>
  <c r="L23" i="10"/>
  <c r="M23" i="10" s="1"/>
  <c r="M42" i="10"/>
  <c r="M36" i="10"/>
  <c r="E15" i="16"/>
  <c r="L24" i="10"/>
  <c r="M24" i="10" s="1"/>
  <c r="M43" i="10"/>
  <c r="E13" i="16"/>
  <c r="L22" i="10"/>
  <c r="M22" i="10" s="1"/>
  <c r="E8" i="16"/>
  <c r="L17" i="10"/>
  <c r="E11" i="16"/>
  <c r="L20" i="10"/>
  <c r="M20" i="10" s="1"/>
  <c r="M41" i="10"/>
  <c r="L25" i="10"/>
  <c r="N25" i="10" s="1"/>
  <c r="E12" i="16"/>
  <c r="L21" i="10"/>
  <c r="M21" i="10" s="1"/>
  <c r="N39" i="10"/>
  <c r="E7" i="16"/>
  <c r="L18" i="10"/>
  <c r="N18" i="10" s="1"/>
  <c r="E9" i="16"/>
  <c r="L16" i="11"/>
  <c r="L14" i="11"/>
  <c r="L12" i="11"/>
  <c r="L10" i="11"/>
  <c r="L8" i="11"/>
  <c r="L6" i="11"/>
  <c r="L4" i="11"/>
  <c r="L2" i="11"/>
  <c r="N37" i="10" l="1"/>
  <c r="M18" i="10"/>
  <c r="N43" i="10"/>
  <c r="N36" i="10"/>
  <c r="N19" i="10"/>
  <c r="M25" i="10"/>
  <c r="M39" i="10"/>
  <c r="N20" i="10"/>
  <c r="N23" i="10"/>
  <c r="N42" i="10"/>
  <c r="N44" i="10"/>
  <c r="N41" i="10"/>
  <c r="N38" i="10"/>
  <c r="N21" i="10"/>
  <c r="N22" i="10"/>
  <c r="N24" i="10"/>
  <c r="K56" i="11"/>
  <c r="L56" i="11" s="1"/>
  <c r="K55" i="11"/>
  <c r="L55" i="11" s="1"/>
  <c r="K53" i="11"/>
  <c r="L53" i="11" s="1"/>
  <c r="K52" i="11"/>
  <c r="L52" i="11" s="1"/>
  <c r="K51" i="11"/>
  <c r="L51" i="11" s="1"/>
  <c r="K50" i="11"/>
  <c r="L50" i="11" s="1"/>
  <c r="K49" i="11"/>
  <c r="L49" i="11" s="1"/>
  <c r="K48" i="11"/>
  <c r="L48" i="11" s="1"/>
  <c r="K47" i="11"/>
  <c r="L47" i="11" s="1"/>
  <c r="K46" i="11"/>
  <c r="L46" i="11" s="1"/>
  <c r="K45" i="11"/>
  <c r="L45" i="11" s="1"/>
  <c r="K43" i="11"/>
  <c r="L43" i="11" s="1"/>
  <c r="K42" i="11"/>
  <c r="L42" i="11" s="1"/>
  <c r="K40" i="11"/>
  <c r="L40" i="11" s="1"/>
  <c r="K39" i="11"/>
  <c r="L39" i="11" s="1"/>
  <c r="K38" i="11"/>
  <c r="L38" i="11" s="1"/>
  <c r="K37" i="11"/>
  <c r="L37" i="11" s="1"/>
  <c r="K36" i="11"/>
  <c r="L36" i="11" s="1"/>
  <c r="K35" i="11"/>
  <c r="L35" i="11" s="1"/>
  <c r="K34" i="11"/>
  <c r="L34" i="11" s="1"/>
  <c r="K33" i="11"/>
  <c r="L33" i="11" s="1"/>
  <c r="K32" i="11"/>
  <c r="L32" i="11" s="1"/>
  <c r="K31" i="11"/>
  <c r="L31" i="11" s="1"/>
  <c r="L3" i="11"/>
  <c r="I15" i="10"/>
  <c r="A18" i="17" s="1"/>
  <c r="B18" i="17" s="1"/>
  <c r="A49" i="17" s="1"/>
  <c r="A51" i="17" s="1"/>
  <c r="A64" i="17" s="1"/>
  <c r="A66" i="17" s="1"/>
  <c r="C6" i="16" l="1"/>
  <c r="E6" i="16"/>
  <c r="E46" i="16" s="1"/>
  <c r="D18" i="16"/>
  <c r="D14" i="16"/>
  <c r="D11" i="16"/>
  <c r="D21" i="16"/>
  <c r="D7" i="16"/>
  <c r="D19" i="16"/>
  <c r="D20" i="16"/>
  <c r="D16" i="16"/>
  <c r="D10" i="16"/>
  <c r="D13" i="16"/>
  <c r="D22" i="16"/>
  <c r="D9" i="16"/>
  <c r="D17" i="16"/>
  <c r="D25" i="16"/>
  <c r="D23" i="16"/>
  <c r="D12" i="16"/>
  <c r="D8" i="16"/>
  <c r="D24" i="16"/>
  <c r="D15" i="16"/>
  <c r="M17" i="10"/>
  <c r="N17" i="10"/>
  <c r="D6" i="16" l="1"/>
  <c r="L15" i="10"/>
  <c r="K7" i="12"/>
  <c r="K6" i="12"/>
  <c r="C9" i="12"/>
  <c r="C8" i="12"/>
  <c r="C7" i="12"/>
  <c r="C6" i="12"/>
  <c r="C5" i="12"/>
  <c r="C4" i="12"/>
  <c r="K5" i="12"/>
  <c r="C3" i="12"/>
  <c r="H25" i="12"/>
  <c r="G25" i="12"/>
  <c r="H24" i="12"/>
  <c r="G24" i="12"/>
  <c r="H23" i="12"/>
  <c r="G23" i="12"/>
  <c r="H22" i="12"/>
  <c r="G22" i="12"/>
  <c r="H21" i="12"/>
  <c r="G21" i="12"/>
  <c r="H20" i="12"/>
  <c r="G20" i="12"/>
  <c r="H19" i="12"/>
  <c r="G19" i="12"/>
  <c r="H18" i="12"/>
  <c r="G18" i="12"/>
  <c r="H17" i="12"/>
  <c r="G17" i="12"/>
  <c r="H16" i="12"/>
  <c r="G16" i="12"/>
  <c r="K25" i="12"/>
  <c r="J25" i="12"/>
  <c r="K24" i="12"/>
  <c r="J24" i="12"/>
  <c r="K23" i="12"/>
  <c r="J23" i="12"/>
  <c r="K22" i="12"/>
  <c r="J22" i="12"/>
  <c r="K21" i="12"/>
  <c r="J21" i="12"/>
  <c r="K20" i="12"/>
  <c r="J20" i="12"/>
  <c r="K19" i="12"/>
  <c r="J19" i="12"/>
  <c r="K18" i="12"/>
  <c r="J18" i="12"/>
  <c r="K17" i="12"/>
  <c r="J17" i="12"/>
  <c r="K16" i="12"/>
  <c r="J16" i="12"/>
  <c r="K15" i="12"/>
  <c r="J15" i="12"/>
  <c r="H15" i="12"/>
  <c r="G15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B25" i="12"/>
  <c r="B24" i="12"/>
  <c r="B23" i="12"/>
  <c r="B22" i="12"/>
  <c r="B21" i="12"/>
  <c r="B20" i="12"/>
  <c r="B19" i="12"/>
  <c r="B18" i="12"/>
  <c r="B17" i="12"/>
  <c r="B16" i="12"/>
  <c r="A25" i="12"/>
  <c r="A24" i="12"/>
  <c r="A23" i="12"/>
  <c r="A22" i="12"/>
  <c r="A21" i="12"/>
  <c r="A20" i="12"/>
  <c r="A19" i="12"/>
  <c r="A18" i="12"/>
  <c r="A17" i="12"/>
  <c r="A16" i="12"/>
  <c r="E47" i="16" l="1"/>
  <c r="I16" i="12"/>
  <c r="I18" i="12"/>
  <c r="I20" i="12"/>
  <c r="I22" i="12"/>
  <c r="I24" i="12"/>
  <c r="M45" i="12"/>
  <c r="O18" i="12"/>
  <c r="L18" i="12" s="1"/>
  <c r="O22" i="12"/>
  <c r="L35" i="12"/>
  <c r="L39" i="12"/>
  <c r="L41" i="12"/>
  <c r="O17" i="12"/>
  <c r="O19" i="12"/>
  <c r="O21" i="12"/>
  <c r="O23" i="12"/>
  <c r="O25" i="12"/>
  <c r="L36" i="12"/>
  <c r="L38" i="12"/>
  <c r="L40" i="12"/>
  <c r="L42" i="12"/>
  <c r="L44" i="12"/>
  <c r="I15" i="12"/>
  <c r="I17" i="12"/>
  <c r="I19" i="12"/>
  <c r="I21" i="12"/>
  <c r="I23" i="12"/>
  <c r="I25" i="12"/>
  <c r="P18" i="12"/>
  <c r="P22" i="12"/>
  <c r="P20" i="12"/>
  <c r="P24" i="12"/>
  <c r="P16" i="12"/>
  <c r="P19" i="12"/>
  <c r="P23" i="12"/>
  <c r="E25" i="12"/>
  <c r="E22" i="12"/>
  <c r="E23" i="12"/>
  <c r="E24" i="12"/>
  <c r="E18" i="12"/>
  <c r="E19" i="12"/>
  <c r="E20" i="12"/>
  <c r="E17" i="12"/>
  <c r="E21" i="12"/>
  <c r="E16" i="12"/>
  <c r="P15" i="12"/>
  <c r="P17" i="12"/>
  <c r="P21" i="12"/>
  <c r="P25" i="12"/>
  <c r="O16" i="12"/>
  <c r="L16" i="12" s="1"/>
  <c r="O20" i="12"/>
  <c r="O24" i="12"/>
  <c r="L37" i="12"/>
  <c r="L43" i="12"/>
  <c r="O15" i="12"/>
  <c r="E15" i="12"/>
  <c r="F15" i="10"/>
  <c r="N37" i="12" l="1"/>
  <c r="M37" i="12"/>
  <c r="M43" i="12"/>
  <c r="N43" i="12"/>
  <c r="N44" i="12"/>
  <c r="M44" i="12"/>
  <c r="M40" i="12"/>
  <c r="N40" i="12"/>
  <c r="M41" i="12"/>
  <c r="N41" i="12"/>
  <c r="N38" i="12"/>
  <c r="M38" i="12"/>
  <c r="M39" i="12"/>
  <c r="N39" i="12"/>
  <c r="M35" i="12"/>
  <c r="N35" i="12"/>
  <c r="M42" i="12"/>
  <c r="N42" i="12"/>
  <c r="N36" i="12"/>
  <c r="M36" i="12"/>
  <c r="L15" i="12"/>
  <c r="N15" i="12" s="1"/>
  <c r="L24" i="12"/>
  <c r="N24" i="12" s="1"/>
  <c r="L20" i="12"/>
  <c r="M16" i="12"/>
  <c r="L25" i="12"/>
  <c r="N25" i="12" s="1"/>
  <c r="L22" i="12"/>
  <c r="M22" i="12" s="1"/>
  <c r="L17" i="12"/>
  <c r="N17" i="12" s="1"/>
  <c r="L21" i="12"/>
  <c r="M21" i="12" s="1"/>
  <c r="L19" i="12"/>
  <c r="M19" i="12" s="1"/>
  <c r="L23" i="12"/>
  <c r="N23" i="12" s="1"/>
  <c r="N18" i="12"/>
  <c r="M18" i="12"/>
  <c r="F25" i="12"/>
  <c r="F24" i="12"/>
  <c r="F23" i="12"/>
  <c r="F22" i="12"/>
  <c r="F21" i="12"/>
  <c r="F20" i="12"/>
  <c r="F19" i="12"/>
  <c r="F18" i="12"/>
  <c r="F17" i="12"/>
  <c r="M24" i="12" l="1"/>
  <c r="N16" i="12"/>
  <c r="N22" i="12"/>
  <c r="M25" i="12"/>
  <c r="M17" i="12"/>
  <c r="N21" i="12"/>
  <c r="M23" i="12"/>
  <c r="N19" i="12"/>
  <c r="M15" i="12"/>
  <c r="N20" i="12"/>
  <c r="M20" i="12"/>
  <c r="M46" i="12" l="1"/>
  <c r="M57" i="10"/>
  <c r="M56" i="10"/>
  <c r="M55" i="10"/>
  <c r="M54" i="10"/>
  <c r="M53" i="10"/>
  <c r="M60" i="10" l="1"/>
  <c r="F15" i="12"/>
  <c r="F16" i="12"/>
  <c r="M47" i="12" l="1"/>
  <c r="M48" i="12" s="1"/>
  <c r="N15" i="10" l="1"/>
  <c r="M15" i="10"/>
  <c r="M46" i="10" l="1"/>
  <c r="M48" i="10" l="1"/>
  <c r="M61" i="10" s="1"/>
  <c r="M64" i="10" s="1"/>
</calcChain>
</file>

<file path=xl/sharedStrings.xml><?xml version="1.0" encoding="utf-8"?>
<sst xmlns="http://schemas.openxmlformats.org/spreadsheetml/2006/main" count="7970" uniqueCount="1464">
  <si>
    <t>Total</t>
  </si>
  <si>
    <t>Price Each</t>
  </si>
  <si>
    <t>Color</t>
  </si>
  <si>
    <t>Joinery</t>
  </si>
  <si>
    <t>Date:</t>
  </si>
  <si>
    <t>DESCRIPTION</t>
  </si>
  <si>
    <t>Item</t>
  </si>
  <si>
    <t>Contemporary</t>
  </si>
  <si>
    <t>Description</t>
  </si>
  <si>
    <t>Dimension Limits</t>
  </si>
  <si>
    <t>Dimensions</t>
  </si>
  <si>
    <t>Linen  D427-60</t>
  </si>
  <si>
    <t>Columbian Walnut  7943-07</t>
  </si>
  <si>
    <t>Profile</t>
  </si>
  <si>
    <t>Door</t>
  </si>
  <si>
    <t>Narrow &amp; Contemporary Combo</t>
  </si>
  <si>
    <t>Wide &amp; Narrow Combo</t>
  </si>
  <si>
    <t>Narrow Traditional</t>
  </si>
  <si>
    <t>Wide Traditional</t>
  </si>
  <si>
    <t>PO No.</t>
  </si>
  <si>
    <t>Job Name:</t>
  </si>
  <si>
    <t>Customer Name:</t>
  </si>
  <si>
    <t>Ship to Address:</t>
  </si>
  <si>
    <t>Contact Name:</t>
  </si>
  <si>
    <t>Contact Phone:</t>
  </si>
  <si>
    <t>Contact Fax:</t>
  </si>
  <si>
    <t>Drawer Front</t>
  </si>
  <si>
    <t>Min H=7" Max H=90 9/16"                   Min W=7 11/16" Max W=28"</t>
  </si>
  <si>
    <t>Min H=5 1/2" Max H=90 9/16"              Min W=6 1/4" Max W=28"</t>
  </si>
  <si>
    <t>Min H=7" Max H=90 9/16"                    Min W=7 11/16" Max W=28"</t>
  </si>
  <si>
    <t>Min H=6" Max H=90 9/16"                    Min W=6 11/16" Max W=28"</t>
  </si>
  <si>
    <t>TOTAL $ DOORS</t>
  </si>
  <si>
    <t>NOTES:</t>
  </si>
  <si>
    <t>ACCESSORIES</t>
  </si>
  <si>
    <t>TOTAL $ ACCESSORIES</t>
  </si>
  <si>
    <t>GRAND TOTAL</t>
  </si>
  <si>
    <t>Phantom Charcoal  8214-28</t>
  </si>
  <si>
    <t>Slab</t>
  </si>
  <si>
    <t>Panel</t>
  </si>
  <si>
    <t>PANEL PRICE</t>
  </si>
  <si>
    <t>Glass-Clear</t>
  </si>
  <si>
    <t>Glass-Rain</t>
  </si>
  <si>
    <t>Glass-Spraylite</t>
  </si>
  <si>
    <t>Glass-Pebbled</t>
  </si>
  <si>
    <t>Glass-Frosted Matte</t>
  </si>
  <si>
    <t>Glass-Narrow Reed</t>
  </si>
  <si>
    <t>Glass-Seeded</t>
  </si>
  <si>
    <t>Glass-Clear Flemish</t>
  </si>
  <si>
    <t>Glass-Mirror</t>
  </si>
  <si>
    <t>3Form-Swept Silver</t>
  </si>
  <si>
    <t>3Form-Starcrossed</t>
  </si>
  <si>
    <t>3Form-Linea Ivory</t>
  </si>
  <si>
    <t>3Form-Thatch 50%</t>
  </si>
  <si>
    <t>3Form-Fossil Leaf</t>
  </si>
  <si>
    <t>3Form-Strand Iron</t>
  </si>
  <si>
    <t>3Form-Bamboo Rings</t>
  </si>
  <si>
    <t>SlabWide Traditional</t>
  </si>
  <si>
    <t>SlabContemporary</t>
  </si>
  <si>
    <t>SlabNarrow Contemporary Combo</t>
  </si>
  <si>
    <t>SlabWide Narrow Combo</t>
  </si>
  <si>
    <t>QTY</t>
  </si>
  <si>
    <t xml:space="preserve">Min H=3 7/8" Max H=90 9/16"               Min W=3 7/8" Max W=28" </t>
  </si>
  <si>
    <t>Min H=5 1/2" Max H=28"                   Min W=9 1/2" Max W=90 9/16"</t>
  </si>
  <si>
    <t xml:space="preserve">Min H=5 1/2" Max H=90 9/16"               Min W=8 1/16" Max W=28" </t>
  </si>
  <si>
    <t>Shaker 4544</t>
  </si>
  <si>
    <t>Miter 4544</t>
  </si>
  <si>
    <t>French Cut 4780</t>
  </si>
  <si>
    <t>Miter 4780</t>
  </si>
  <si>
    <t>Shaker 4482/4780</t>
  </si>
  <si>
    <t>Shaker 4544/4482</t>
  </si>
  <si>
    <t>Shaker 4482</t>
  </si>
  <si>
    <t>Miter 4482</t>
  </si>
  <si>
    <t>Narrow Traditional 4482</t>
  </si>
  <si>
    <t>DoorNarrow Traditional 4482Shaker 4482</t>
  </si>
  <si>
    <t>Wide Traditional 4544</t>
  </si>
  <si>
    <t>Contemporary 4780</t>
  </si>
  <si>
    <t>Light Shield 4022</t>
  </si>
  <si>
    <t>Batten 4632</t>
  </si>
  <si>
    <t>Contemporary Crown 4766</t>
  </si>
  <si>
    <t>Concave Crown WP22</t>
  </si>
  <si>
    <t>Baseboard 4873</t>
  </si>
  <si>
    <t xml:space="preserve">Min H=6 3/16" Max H=90 9/16"               Min W=6 3/16" Max W=28" </t>
  </si>
  <si>
    <t>DoorNarrow Traditional 4482Miter 4482</t>
  </si>
  <si>
    <t>CONCATENATE</t>
  </si>
  <si>
    <t>Drawer FrontContemporary 4780Miter 4780</t>
  </si>
  <si>
    <t>DoorWide Traditional 4544Shaker 4544</t>
  </si>
  <si>
    <t>DoorWide Traditional 4544Miter 4544</t>
  </si>
  <si>
    <t>DoorContemporary 4780Miter 4780</t>
  </si>
  <si>
    <t>DoorContemporary 4780French Cut 4780</t>
  </si>
  <si>
    <t>Narrow Contemporary Combo 4482.4780</t>
  </si>
  <si>
    <t>DoorNarrow Contemporary Combo 4482.4780Shaker 4482/4780</t>
  </si>
  <si>
    <t xml:space="preserve">Min H=5 1/2" Max H=90 9/16"               Min W=8 1/2" Max W=28" </t>
  </si>
  <si>
    <t>Wide Narrow Combo 4544.4482</t>
  </si>
  <si>
    <t>DoorWide Narrow Combo 4544.4482Shaker 4544/4482</t>
  </si>
  <si>
    <t xml:space="preserve">Min H=5 1/2" Max H=28"                     Min W=8 1/16" Max W=90 9/16" </t>
  </si>
  <si>
    <t xml:space="preserve">Min H=6 3/16" Max H=28"                     Min W=6 3/16" Max W=90 9/16" </t>
  </si>
  <si>
    <t>Min H=6 3/16" Max H=28"                          Min W=6 3/16" Max W=90 9/16"</t>
  </si>
  <si>
    <t>Min H=5 1/2" Max H=28"                          Min W=8 1/2" Max W=90 9/16"</t>
  </si>
  <si>
    <t>Min H=5 1/2" Max H=28"                     Min W=8 1/16" Max W=90 9/16"</t>
  </si>
  <si>
    <t>Drawer FrontContemporary4780French Cut 4780</t>
  </si>
  <si>
    <t>SlabSlabSlab</t>
  </si>
  <si>
    <t>Drawer FrontNarrow Traditional 4482Shaker 4482</t>
  </si>
  <si>
    <t>Drawer FrontNarrow Traditional 4482Miter 4482</t>
  </si>
  <si>
    <t>Drawer FrontWide Traditional 4544Shaker 4544</t>
  </si>
  <si>
    <t>Drawer FrontWide Traditional 4544Miter 4544</t>
  </si>
  <si>
    <t>Drawer FrontNarrow Contemporary Combo 4482.4780Shaker 4482/4780</t>
  </si>
  <si>
    <t>Drawer FrontWide Narrow Combo 4544.4482Shaker 4544/4482</t>
  </si>
  <si>
    <t>Drawer FrontContemporary 4780French Cut 4780</t>
  </si>
  <si>
    <t>GRAND TOTAL $ DOORS</t>
  </si>
  <si>
    <t>TOTAL DOORS</t>
  </si>
  <si>
    <t>SURCHARGE</t>
  </si>
  <si>
    <t/>
  </si>
  <si>
    <r>
      <t xml:space="preserve">Width
</t>
    </r>
    <r>
      <rPr>
        <b/>
        <sz val="10"/>
        <rFont val="Arial"/>
        <family val="2"/>
      </rPr>
      <t>(inches)</t>
    </r>
  </si>
  <si>
    <r>
      <t xml:space="preserve">Height
</t>
    </r>
    <r>
      <rPr>
        <b/>
        <sz val="10"/>
        <rFont val="Arial"/>
        <family val="2"/>
      </rPr>
      <t>(inches)</t>
    </r>
  </si>
  <si>
    <t>Sq Ft</t>
  </si>
  <si>
    <t>Cost 
2018 $/SQ.FT</t>
  </si>
  <si>
    <t>WILSONART 
2017 $/SQ.FT</t>
  </si>
  <si>
    <t>CUSTOMER
2018 $/SQ.FT</t>
  </si>
  <si>
    <t>Enter Cusomer Margin</t>
  </si>
  <si>
    <t>Customer Price @ Margin</t>
  </si>
  <si>
    <t>HIDE</t>
  </si>
  <si>
    <t>Price 
(each)</t>
  </si>
  <si>
    <t>Price 
(Sq.Ft.)</t>
  </si>
  <si>
    <t>White Driftwood      8200-16</t>
  </si>
  <si>
    <t>Weathered Char     8204-16</t>
  </si>
  <si>
    <t>Veranda Teak        8209-28</t>
  </si>
  <si>
    <t>Branded Oak         8207-16</t>
  </si>
  <si>
    <t>Saddle Oak           8206-16</t>
  </si>
  <si>
    <t>Fawn Cypress       8208-16</t>
  </si>
  <si>
    <t>Phantom Ecru       8212-28</t>
  </si>
  <si>
    <t>River Cherry          7937-38</t>
  </si>
  <si>
    <t>Florence Walnut    7993-38</t>
  </si>
  <si>
    <t>Shaker Cherry       7935-07</t>
  </si>
  <si>
    <t>Cafelle 7933-07</t>
  </si>
  <si>
    <t>Neowalnut 7991-38</t>
  </si>
  <si>
    <t>Ebony Recon        7997-38</t>
  </si>
  <si>
    <t>Phantom Pearl      8211-28</t>
  </si>
  <si>
    <t>Price/ea</t>
  </si>
  <si>
    <t>QUANTITY DOORS</t>
  </si>
  <si>
    <t>SUBTOTAL $ DOORS</t>
  </si>
  <si>
    <t>Bill/Ship to:</t>
  </si>
  <si>
    <t>Wilsonart LLC</t>
  </si>
  <si>
    <t>Customer Signature:</t>
  </si>
  <si>
    <t>Date</t>
  </si>
  <si>
    <t>&gt;625</t>
  </si>
  <si>
    <t>&gt;1250</t>
  </si>
  <si>
    <t>ACCESSORIES QTY</t>
  </si>
  <si>
    <t>FREIGHT</t>
  </si>
  <si>
    <t>DISTRIBUTOR</t>
  </si>
  <si>
    <t>Surcharge</t>
  </si>
  <si>
    <t>Item#</t>
  </si>
  <si>
    <t>HIDE ME!!!</t>
  </si>
  <si>
    <t>Margin Key</t>
  </si>
  <si>
    <t>Margin %</t>
  </si>
  <si>
    <t>Part</t>
  </si>
  <si>
    <t>PATTERN</t>
  </si>
  <si>
    <t>FINISH</t>
  </si>
  <si>
    <t>DOOR STYLE</t>
  </si>
  <si>
    <t>DESC</t>
  </si>
  <si>
    <t>Infor part</t>
  </si>
  <si>
    <t>Rail Style (1)</t>
  </si>
  <si>
    <t>Pattern</t>
  </si>
  <si>
    <t>Door Rail</t>
  </si>
  <si>
    <t>H4000263</t>
  </si>
  <si>
    <t>7935</t>
  </si>
  <si>
    <t>07</t>
  </si>
  <si>
    <t>SHAKER</t>
  </si>
  <si>
    <t>SHAKER CHERRY</t>
  </si>
  <si>
    <t>LPD-Z1WA1793507</t>
  </si>
  <si>
    <t>H4000264</t>
  </si>
  <si>
    <t>7933</t>
  </si>
  <si>
    <t>CAFELLE</t>
  </si>
  <si>
    <t>LPD-Z1WA1793307</t>
  </si>
  <si>
    <t>H4000265</t>
  </si>
  <si>
    <t>8200</t>
  </si>
  <si>
    <t>16</t>
  </si>
  <si>
    <t>WHITE DRIFTWOOD</t>
  </si>
  <si>
    <t>LPD-Z1WA1820016</t>
  </si>
  <si>
    <t>H4000266</t>
  </si>
  <si>
    <t>8204</t>
  </si>
  <si>
    <t>WEATHERED CHAR</t>
  </si>
  <si>
    <t>LPD-Z1WA1820416</t>
  </si>
  <si>
    <t>H4000267</t>
  </si>
  <si>
    <t>7991</t>
  </si>
  <si>
    <t>38</t>
  </si>
  <si>
    <t>NEO WALNUT</t>
  </si>
  <si>
    <t>LPD-Z1WA1799138</t>
  </si>
  <si>
    <t>H4000268</t>
  </si>
  <si>
    <t>7997</t>
  </si>
  <si>
    <t>EBONY RECON</t>
  </si>
  <si>
    <t>LPD-Z1WA1799738</t>
  </si>
  <si>
    <t>H4000269</t>
  </si>
  <si>
    <t>8214</t>
  </si>
  <si>
    <t>28</t>
  </si>
  <si>
    <t>PHANTOM CHARCOAL</t>
  </si>
  <si>
    <t>LPD-Z1WA1821428</t>
  </si>
  <si>
    <t>H4000270</t>
  </si>
  <si>
    <t>D427</t>
  </si>
  <si>
    <t>60</t>
  </si>
  <si>
    <t>LINEN</t>
  </si>
  <si>
    <t>LPD-Z1WA1D42760</t>
  </si>
  <si>
    <t>H4000271</t>
  </si>
  <si>
    <t>8211</t>
  </si>
  <si>
    <t>PHANTOM PEARL</t>
  </si>
  <si>
    <t>LPD-Z1WA1821128</t>
  </si>
  <si>
    <t>H4000272</t>
  </si>
  <si>
    <t>8209</t>
  </si>
  <si>
    <t>VERANDA TEAK</t>
  </si>
  <si>
    <t>LPD-Z1WA1820928</t>
  </si>
  <si>
    <t>H4000273</t>
  </si>
  <si>
    <t>8207</t>
  </si>
  <si>
    <t>BRANDED OAK</t>
  </si>
  <si>
    <t>LPD-Z1WA1820716</t>
  </si>
  <si>
    <t>H4000274</t>
  </si>
  <si>
    <t>8206</t>
  </si>
  <si>
    <t>SADDLE OAK</t>
  </si>
  <si>
    <t>LPD-Z1WA1820616</t>
  </si>
  <si>
    <t>H4000275</t>
  </si>
  <si>
    <t>8212</t>
  </si>
  <si>
    <t>PHANTOM ECRU</t>
  </si>
  <si>
    <t>LPD-Z1WA1821228</t>
  </si>
  <si>
    <t>H4000276</t>
  </si>
  <si>
    <t>8208</t>
  </si>
  <si>
    <t>FAWN CYPRESS</t>
  </si>
  <si>
    <t>LPD-Z1WA1820816</t>
  </si>
  <si>
    <t>H4000277</t>
  </si>
  <si>
    <t>7937</t>
  </si>
  <si>
    <t>RIVER CHERRY</t>
  </si>
  <si>
    <t>LPD-Z1WA1793738</t>
  </si>
  <si>
    <t>H4000278</t>
  </si>
  <si>
    <t>7943</t>
  </si>
  <si>
    <t>COLOMBIAN WALNUT</t>
  </si>
  <si>
    <t>LPD-Z1WA1794307</t>
  </si>
  <si>
    <t>H4000279</t>
  </si>
  <si>
    <t>7993</t>
  </si>
  <si>
    <t>FLORENCE WALNUT</t>
  </si>
  <si>
    <t>LPD-Z1WA1799338</t>
  </si>
  <si>
    <t>H4000280</t>
  </si>
  <si>
    <t>LPD-Z4WA1793507</t>
  </si>
  <si>
    <t>H4000281</t>
  </si>
  <si>
    <t>LPD-Z4WA1793307</t>
  </si>
  <si>
    <t>H4000282</t>
  </si>
  <si>
    <t>LPD-Z4WA1820016</t>
  </si>
  <si>
    <t>H4000283</t>
  </si>
  <si>
    <t>LPD-Z4WA1820416</t>
  </si>
  <si>
    <t>H4000284</t>
  </si>
  <si>
    <t>LPD-Z4WA1799138</t>
  </si>
  <si>
    <t>H4000285</t>
  </si>
  <si>
    <t>LPD-Z4WA1799738</t>
  </si>
  <si>
    <t>H4000286</t>
  </si>
  <si>
    <t>LPD-Z4WA1821428</t>
  </si>
  <si>
    <t>H4000287</t>
  </si>
  <si>
    <t>LPD-Z4WA1D42760</t>
  </si>
  <si>
    <t>H4000288</t>
  </si>
  <si>
    <t>LPD-Z4WA1821128</t>
  </si>
  <si>
    <t>H4000289</t>
  </si>
  <si>
    <t>LPD-Z4WA1820928</t>
  </si>
  <si>
    <t>H4000290</t>
  </si>
  <si>
    <t>LPD-Z4WA1820716</t>
  </si>
  <si>
    <t>H4000291</t>
  </si>
  <si>
    <t>LPD-Z4WA1820616</t>
  </si>
  <si>
    <t>H4000292</t>
  </si>
  <si>
    <t>LPD-Z4WA1821228</t>
  </si>
  <si>
    <t>H4000293</t>
  </si>
  <si>
    <t>LPD-Z4WA1820816</t>
  </si>
  <si>
    <t>H4000294</t>
  </si>
  <si>
    <t>LPD-Z4WA1793738</t>
  </si>
  <si>
    <t>H4000295</t>
  </si>
  <si>
    <t>LPD-Z4WA1794307</t>
  </si>
  <si>
    <t>H4000296</t>
  </si>
  <si>
    <t>LPD-Z4WA1799338</t>
  </si>
  <si>
    <t>H4000297</t>
  </si>
  <si>
    <t>MITER</t>
  </si>
  <si>
    <t>LPD-Z2WA2793507</t>
  </si>
  <si>
    <t>H4000298</t>
  </si>
  <si>
    <t>LPD-Z2WA2793307</t>
  </si>
  <si>
    <t>H4000299</t>
  </si>
  <si>
    <t>LPD-Z2WA2820016</t>
  </si>
  <si>
    <t>H4000300</t>
  </si>
  <si>
    <t>LPD-Z2WA2820416</t>
  </si>
  <si>
    <t>H4000301</t>
  </si>
  <si>
    <t>LPD-Z2WA2799138</t>
  </si>
  <si>
    <t>H4000302</t>
  </si>
  <si>
    <t>LPD-Z2WA2799738</t>
  </si>
  <si>
    <t>H4000303</t>
  </si>
  <si>
    <t>LPD-Z2WA2821428</t>
  </si>
  <si>
    <t>H4000304</t>
  </si>
  <si>
    <t>LPD-Z2WA2D42760</t>
  </si>
  <si>
    <t>H4000305</t>
  </si>
  <si>
    <t>LPD-Z2WA2821128</t>
  </si>
  <si>
    <t>H4000306</t>
  </si>
  <si>
    <t>LPD-Z2WA2820928</t>
  </si>
  <si>
    <t>H4000307</t>
  </si>
  <si>
    <t>LPD-Z2WA2820716</t>
  </si>
  <si>
    <t>H4000308</t>
  </si>
  <si>
    <t>LPD-Z2WA2820616</t>
  </si>
  <si>
    <t>H4000309</t>
  </si>
  <si>
    <t>LPD-Z2WA2821228</t>
  </si>
  <si>
    <t>H4000310</t>
  </si>
  <si>
    <t>LPD-Z2WA2820816</t>
  </si>
  <si>
    <t>H4000311</t>
  </si>
  <si>
    <t>LPD-Z2WA2793738</t>
  </si>
  <si>
    <t>H4000312</t>
  </si>
  <si>
    <t>LPD-Z2WA2794307</t>
  </si>
  <si>
    <t>H4000313</t>
  </si>
  <si>
    <t>LPD-Z2WA2799338</t>
  </si>
  <si>
    <t>H4000314</t>
  </si>
  <si>
    <t>LPD-Z5WA2793507</t>
  </si>
  <si>
    <t>H4000315</t>
  </si>
  <si>
    <t>LPD-Z5WA2793307</t>
  </si>
  <si>
    <t>H4000316</t>
  </si>
  <si>
    <t>LPD-Z5WA2820016</t>
  </si>
  <si>
    <t>H4000317</t>
  </si>
  <si>
    <t>LPD-Z5WA2820416</t>
  </si>
  <si>
    <t>H4000318</t>
  </si>
  <si>
    <t>LPD-Z5WA2799138</t>
  </si>
  <si>
    <t>H4000319</t>
  </si>
  <si>
    <t>LPD-Z5WA2799738</t>
  </si>
  <si>
    <t>H4000320</t>
  </si>
  <si>
    <t>LPD-Z5WA2821428</t>
  </si>
  <si>
    <t>H4000321</t>
  </si>
  <si>
    <t>LPD-Z5WA2D42760</t>
  </si>
  <si>
    <t>H4000322</t>
  </si>
  <si>
    <t>LPD-Z5WA2821128</t>
  </si>
  <si>
    <t>H4000323</t>
  </si>
  <si>
    <t>LPD-Z5WA2820928</t>
  </si>
  <si>
    <t>H4000324</t>
  </si>
  <si>
    <t>LPD-Z5WA2820716</t>
  </si>
  <si>
    <t>H4000325</t>
  </si>
  <si>
    <t>LPD-Z5WA2820616</t>
  </si>
  <si>
    <t>H4000326</t>
  </si>
  <si>
    <t>LPD-Z5WA2821228</t>
  </si>
  <si>
    <t>H4000327</t>
  </si>
  <si>
    <t>LPD-Z5WA2820816</t>
  </si>
  <si>
    <t>H4000328</t>
  </si>
  <si>
    <t>LPD-Z5WA2793738</t>
  </si>
  <si>
    <t>H4000329</t>
  </si>
  <si>
    <t>LPD-Z5WA2794307</t>
  </si>
  <si>
    <t>H4000330</t>
  </si>
  <si>
    <t>LPD-Z5WA2799338</t>
  </si>
  <si>
    <t>H4000331</t>
  </si>
  <si>
    <t>LPD-Z1WA3793507</t>
  </si>
  <si>
    <t>H4000332</t>
  </si>
  <si>
    <t>LPD-Z1WA3793307</t>
  </si>
  <si>
    <t>H4000333</t>
  </si>
  <si>
    <t>LPD-Z1WA3820016</t>
  </si>
  <si>
    <t>H4000334</t>
  </si>
  <si>
    <t>LPD-Z1WA3820416</t>
  </si>
  <si>
    <t>H4000335</t>
  </si>
  <si>
    <t>LPD-Z1WA3799138</t>
  </si>
  <si>
    <t>H4000336</t>
  </si>
  <si>
    <t>LPD-Z1WA3799738</t>
  </si>
  <si>
    <t>H4000337</t>
  </si>
  <si>
    <t>LPD-Z1WA3821428</t>
  </si>
  <si>
    <t>H4000338</t>
  </si>
  <si>
    <t>LPD-Z1WA3D42760</t>
  </si>
  <si>
    <t>H4000339</t>
  </si>
  <si>
    <t>LPD-Z1WA3821128</t>
  </si>
  <si>
    <t>H4000340</t>
  </si>
  <si>
    <t>LPD-Z1WA3820928</t>
  </si>
  <si>
    <t>H4000341</t>
  </si>
  <si>
    <t>LPD-Z1WA3820716</t>
  </si>
  <si>
    <t>H4000342</t>
  </si>
  <si>
    <t>LPD-Z1WA3820616</t>
  </si>
  <si>
    <t>H4000343</t>
  </si>
  <si>
    <t>LPD-Z1WA3821228</t>
  </si>
  <si>
    <t>H4000344</t>
  </si>
  <si>
    <t>LPD-Z1WA3820816</t>
  </si>
  <si>
    <t>H4000345</t>
  </si>
  <si>
    <t>LPD-Z1WA3793738</t>
  </si>
  <si>
    <t>H4000346</t>
  </si>
  <si>
    <t>LPD-Z1WA3794307</t>
  </si>
  <si>
    <t>H4000347</t>
  </si>
  <si>
    <t>LPD-Z1WA3799338</t>
  </si>
  <si>
    <t>H4000348</t>
  </si>
  <si>
    <t>LPD-Z4WA3793507</t>
  </si>
  <si>
    <t>H4000349</t>
  </si>
  <si>
    <t>LPD-Z4WA3793307</t>
  </si>
  <si>
    <t>H4000350</t>
  </si>
  <si>
    <t>LPD-Z4WA3820016</t>
  </si>
  <si>
    <t>H4000351</t>
  </si>
  <si>
    <t>LPD-Z4WA3820416</t>
  </si>
  <si>
    <t>H4000352</t>
  </si>
  <si>
    <t>LPD-Z4WA3799138</t>
  </si>
  <si>
    <t>H4000353</t>
  </si>
  <si>
    <t>LPD-Z4WA3799738</t>
  </si>
  <si>
    <t>H4000354</t>
  </si>
  <si>
    <t>LPD-Z4WA3821428</t>
  </si>
  <si>
    <t>H4000355</t>
  </si>
  <si>
    <t>LPD-Z4WA3D42760</t>
  </si>
  <si>
    <t>H4000356</t>
  </si>
  <si>
    <t>LPD-Z4WA3821128</t>
  </si>
  <si>
    <t>H4000357</t>
  </si>
  <si>
    <t>LPD-Z4WA3820928</t>
  </si>
  <si>
    <t>H4000358</t>
  </si>
  <si>
    <t>LPD-Z4WA3820716</t>
  </si>
  <si>
    <t>H4000359</t>
  </si>
  <si>
    <t>LPD-Z4WA3820616</t>
  </si>
  <si>
    <t>H4000360</t>
  </si>
  <si>
    <t>LPD-Z4WA3821228</t>
  </si>
  <si>
    <t>H4000361</t>
  </si>
  <si>
    <t>LPD-Z4WA3820816</t>
  </si>
  <si>
    <t>H4000362</t>
  </si>
  <si>
    <t>LPD-Z4WA3793738</t>
  </si>
  <si>
    <t>H4000363</t>
  </si>
  <si>
    <t>LPD-Z4WA3794307</t>
  </si>
  <si>
    <t>H4000364</t>
  </si>
  <si>
    <t>LPD-Z4WA3799338</t>
  </si>
  <si>
    <t>H4000365</t>
  </si>
  <si>
    <t>LPD-Z2WA4793507</t>
  </si>
  <si>
    <t>H4000366</t>
  </si>
  <si>
    <t>LPD-Z2WA4793307</t>
  </si>
  <si>
    <t>H4000367</t>
  </si>
  <si>
    <t>LPD-Z2WA4820016</t>
  </si>
  <si>
    <t>H4000368</t>
  </si>
  <si>
    <t>LPD-Z2WA4820416</t>
  </si>
  <si>
    <t>H4000369</t>
  </si>
  <si>
    <t>LPD-Z2WA4799138</t>
  </si>
  <si>
    <t>H4000370</t>
  </si>
  <si>
    <t>LPD-Z2WA4799738</t>
  </si>
  <si>
    <t>H4000371</t>
  </si>
  <si>
    <t>LPD-Z2WA4821428</t>
  </si>
  <si>
    <t>H4000372</t>
  </si>
  <si>
    <t>LPD-Z2WA4D42760</t>
  </si>
  <si>
    <t>H4000373</t>
  </si>
  <si>
    <t>LPD-Z2WA4821128</t>
  </si>
  <si>
    <t>H4000374</t>
  </si>
  <si>
    <t>LPD-Z2WA4820928</t>
  </si>
  <si>
    <t>H4000375</t>
  </si>
  <si>
    <t>LPD-Z2WA4820716</t>
  </si>
  <si>
    <t>H4000376</t>
  </si>
  <si>
    <t>LPD-Z2WA4820616</t>
  </si>
  <si>
    <t>H4000377</t>
  </si>
  <si>
    <t>LPD-Z2WA4821228</t>
  </si>
  <si>
    <t>H4000378</t>
  </si>
  <si>
    <t>LPD-Z2WA4820816</t>
  </si>
  <si>
    <t>H4000379</t>
  </si>
  <si>
    <t>LPD-Z2WA4793738</t>
  </si>
  <si>
    <t>H4000380</t>
  </si>
  <si>
    <t>LPD-Z2WA4794307</t>
  </si>
  <si>
    <t>H4000381</t>
  </si>
  <si>
    <t>LPD-Z2WA4799338</t>
  </si>
  <si>
    <t>H4000382</t>
  </si>
  <si>
    <t>LPD-Z5WA4793507</t>
  </si>
  <si>
    <t>H4000383</t>
  </si>
  <si>
    <t>LPD-Z5WA4793307</t>
  </si>
  <si>
    <t>H4000384</t>
  </si>
  <si>
    <t>LPD-Z5WA4820016</t>
  </si>
  <si>
    <t>H4000385</t>
  </si>
  <si>
    <t>LPD-Z5WA4820416</t>
  </si>
  <si>
    <t>H4000386</t>
  </si>
  <si>
    <t>LPD-Z5WA4799138</t>
  </si>
  <si>
    <t>H4000387</t>
  </si>
  <si>
    <t>LPD-Z5WA4799738</t>
  </si>
  <si>
    <t>H4000388</t>
  </si>
  <si>
    <t>LPD-Z5WA4821428</t>
  </si>
  <si>
    <t>H4000389</t>
  </si>
  <si>
    <t>LPD-Z5WA4D42760</t>
  </si>
  <si>
    <t>H4000390</t>
  </si>
  <si>
    <t>LPD-Z5WA4821128</t>
  </si>
  <si>
    <t>H4000391</t>
  </si>
  <si>
    <t>LPD-Z5WA4820928</t>
  </si>
  <si>
    <t>H4000392</t>
  </si>
  <si>
    <t>LPD-Z5WA4820716</t>
  </si>
  <si>
    <t>H4000393</t>
  </si>
  <si>
    <t>LPD-Z5WA4820616</t>
  </si>
  <si>
    <t>H4000394</t>
  </si>
  <si>
    <t>LPD-Z5WA4821228</t>
  </si>
  <si>
    <t>H4000395</t>
  </si>
  <si>
    <t>LPD-Z5WA4820816</t>
  </si>
  <si>
    <t>H4000396</t>
  </si>
  <si>
    <t>LPD-Z5WA4793738</t>
  </si>
  <si>
    <t>H4000397</t>
  </si>
  <si>
    <t>LPD-Z5WA4794307</t>
  </si>
  <si>
    <t>H4000398</t>
  </si>
  <si>
    <t>LPD-Z5WA4799338</t>
  </si>
  <si>
    <t>H4000399</t>
  </si>
  <si>
    <t>FRENCH</t>
  </si>
  <si>
    <t>LPD-Z3WA5793507</t>
  </si>
  <si>
    <t>H4000400</t>
  </si>
  <si>
    <t>LPD-Z3WA5793307</t>
  </si>
  <si>
    <t>H4000401</t>
  </si>
  <si>
    <t>LPD-Z3WA5820016</t>
  </si>
  <si>
    <t>H4000402</t>
  </si>
  <si>
    <t>LPD-Z3WA5820416</t>
  </si>
  <si>
    <t>H4000403</t>
  </si>
  <si>
    <t>LPD-Z3WA5799138</t>
  </si>
  <si>
    <t>H4000404</t>
  </si>
  <si>
    <t>LPD-Z3WA5799738</t>
  </si>
  <si>
    <t>H4000405</t>
  </si>
  <si>
    <t>LPD-Z3WA5821428</t>
  </si>
  <si>
    <t>H4000406</t>
  </si>
  <si>
    <t>LPD-Z3WA5D42760</t>
  </si>
  <si>
    <t>H4000407</t>
  </si>
  <si>
    <t>LPD-Z3WA5821128</t>
  </si>
  <si>
    <t>H4000408</t>
  </si>
  <si>
    <t>LPD-Z3WA5820928</t>
  </si>
  <si>
    <t>H4000409</t>
  </si>
  <si>
    <t>LPD-Z3WA5820716</t>
  </si>
  <si>
    <t>H4000410</t>
  </si>
  <si>
    <t>LPD-Z3WA5820616</t>
  </si>
  <si>
    <t>H4000411</t>
  </si>
  <si>
    <t>LPD-Z3WA5821228</t>
  </si>
  <si>
    <t>H4000412</t>
  </si>
  <si>
    <t>LPD-Z3WA5820816</t>
  </si>
  <si>
    <t>H4000413</t>
  </si>
  <si>
    <t>LPD-Z3WA5793738</t>
  </si>
  <si>
    <t>H4000414</t>
  </si>
  <si>
    <t>LPD-Z3WA5794307</t>
  </si>
  <si>
    <t>H4000415</t>
  </si>
  <si>
    <t>LPD-Z3WA5799338</t>
  </si>
  <si>
    <t>H4000416</t>
  </si>
  <si>
    <t>LPD-Z6WA5793507</t>
  </si>
  <si>
    <t>H4000417</t>
  </si>
  <si>
    <t>LPD-Z6WA5793307</t>
  </si>
  <si>
    <t>H4000418</t>
  </si>
  <si>
    <t>LPD-Z6WA5820016</t>
  </si>
  <si>
    <t>H4000419</t>
  </si>
  <si>
    <t>LPD-Z6WA5820416</t>
  </si>
  <si>
    <t>H4000420</t>
  </si>
  <si>
    <t>LPD-Z6WA5799138</t>
  </si>
  <si>
    <t>H4000421</t>
  </si>
  <si>
    <t>LPD-Z6WA5799738</t>
  </si>
  <si>
    <t>H4000422</t>
  </si>
  <si>
    <t>LPD-Z6WA5821428</t>
  </si>
  <si>
    <t>H4000423</t>
  </si>
  <si>
    <t>LPD-Z6WA5D42760</t>
  </si>
  <si>
    <t>H4000424</t>
  </si>
  <si>
    <t>LPD-Z6WA5821128</t>
  </si>
  <si>
    <t>H4000425</t>
  </si>
  <si>
    <t>LPD-Z6WA5820928</t>
  </si>
  <si>
    <t>H4000426</t>
  </si>
  <si>
    <t>LPD-Z6WA5820716</t>
  </si>
  <si>
    <t>H4000427</t>
  </si>
  <si>
    <t>LPD-Z6WA5820616</t>
  </si>
  <si>
    <t>H4000428</t>
  </si>
  <si>
    <t>LPD-Z6WA5821228</t>
  </si>
  <si>
    <t>H4000429</t>
  </si>
  <si>
    <t>LPD-Z6WA5820816</t>
  </si>
  <si>
    <t>H4000430</t>
  </si>
  <si>
    <t>LPD-Z6WA5793738</t>
  </si>
  <si>
    <t>H4000431</t>
  </si>
  <si>
    <t>LPD-Z6WA5794307</t>
  </si>
  <si>
    <t>H4000432</t>
  </si>
  <si>
    <t>LPD-Z6WA5799338</t>
  </si>
  <si>
    <t>H4000433</t>
  </si>
  <si>
    <t>LPD-Z2WA6793507</t>
  </si>
  <si>
    <t>H4000434</t>
  </si>
  <si>
    <t>LPD-Z2WA6793307</t>
  </si>
  <si>
    <t>H4000435</t>
  </si>
  <si>
    <t>LPD-Z2WA6820016</t>
  </si>
  <si>
    <t>H4000436</t>
  </si>
  <si>
    <t>LPD-Z2WA6820416</t>
  </si>
  <si>
    <t>H4000437</t>
  </si>
  <si>
    <t>LPD-Z2WA6799138</t>
  </si>
  <si>
    <t>H4000438</t>
  </si>
  <si>
    <t>LPD-Z2WA6799738</t>
  </si>
  <si>
    <t>H4000439</t>
  </si>
  <si>
    <t>LPD-Z2WA6821428</t>
  </si>
  <si>
    <t>H4000440</t>
  </si>
  <si>
    <t>LPD-Z2WA6D42760</t>
  </si>
  <si>
    <t>H4000441</t>
  </si>
  <si>
    <t>LPD-Z2WA6821128</t>
  </si>
  <si>
    <t>H4000442</t>
  </si>
  <si>
    <t>LPD-Z2WA6820928</t>
  </si>
  <si>
    <t>H4000443</t>
  </si>
  <si>
    <t>LPD-Z2WA6820716</t>
  </si>
  <si>
    <t>H4000444</t>
  </si>
  <si>
    <t>LPD-Z2WA6820616</t>
  </si>
  <si>
    <t>H4000445</t>
  </si>
  <si>
    <t>LPD-Z2WA6821228</t>
  </si>
  <si>
    <t>H4000446</t>
  </si>
  <si>
    <t>LPD-Z2WA6820816</t>
  </si>
  <si>
    <t>H4000447</t>
  </si>
  <si>
    <t>LPD-Z2WA6793738</t>
  </si>
  <si>
    <t>H4000448</t>
  </si>
  <si>
    <t>LPD-Z2WA6794307</t>
  </si>
  <si>
    <t>H4000449</t>
  </si>
  <si>
    <t>LPD-Z2WA6799338</t>
  </si>
  <si>
    <t>H4000450</t>
  </si>
  <si>
    <t>LPD-Z5WA6793507</t>
  </si>
  <si>
    <t>H4000451</t>
  </si>
  <si>
    <t>LPD-Z5WA6793307</t>
  </si>
  <si>
    <t>H4000452</t>
  </si>
  <si>
    <t>LPD-Z5WA6820016</t>
  </si>
  <si>
    <t>H4000453</t>
  </si>
  <si>
    <t>LPD-Z5WA6820416</t>
  </si>
  <si>
    <t>H4000454</t>
  </si>
  <si>
    <t>LPD-Z5WA6799138</t>
  </si>
  <si>
    <t>H4000455</t>
  </si>
  <si>
    <t>LPD-Z5WA6799738</t>
  </si>
  <si>
    <t>H4000456</t>
  </si>
  <si>
    <t>LPD-Z5WA6821428</t>
  </si>
  <si>
    <t>H4000457</t>
  </si>
  <si>
    <t>LPD-Z5WA6D42760</t>
  </si>
  <si>
    <t>H4000458</t>
  </si>
  <si>
    <t>LPD-Z5WA6821128</t>
  </si>
  <si>
    <t>H4000459</t>
  </si>
  <si>
    <t>LPD-Z5WA6820928</t>
  </si>
  <si>
    <t>H4000460</t>
  </si>
  <si>
    <t>LPD-Z5WA6820716</t>
  </si>
  <si>
    <t>H4000461</t>
  </si>
  <si>
    <t>LPD-Z5WA6820616</t>
  </si>
  <si>
    <t>H4000462</t>
  </si>
  <si>
    <t>LPD-Z5WA6821228</t>
  </si>
  <si>
    <t>H4000463</t>
  </si>
  <si>
    <t>LPD-Z5WA6820816</t>
  </si>
  <si>
    <t>H4000464</t>
  </si>
  <si>
    <t>LPD-Z5WA6793738</t>
  </si>
  <si>
    <t>H4000465</t>
  </si>
  <si>
    <t>LPD-Z5WA6794307</t>
  </si>
  <si>
    <t>H4000466</t>
  </si>
  <si>
    <t>LPD-Z5WA6799338</t>
  </si>
  <si>
    <t>H4999999</t>
  </si>
  <si>
    <t>LPD-Z1WA7793507</t>
  </si>
  <si>
    <t>4482/4780</t>
  </si>
  <si>
    <t>H5000000</t>
  </si>
  <si>
    <t>LPD-Z1WA7793307</t>
  </si>
  <si>
    <t>H5000001</t>
  </si>
  <si>
    <t>LPD-Z1WA7820016</t>
  </si>
  <si>
    <t>LPD-Z1WA7820416</t>
  </si>
  <si>
    <t>H4000469</t>
  </si>
  <si>
    <t>7122</t>
  </si>
  <si>
    <t>EMPIRE MAHOGANY</t>
  </si>
  <si>
    <t>LPD-Z1WA7799738</t>
  </si>
  <si>
    <t>LPD-Z1WA7821428</t>
  </si>
  <si>
    <t>LPD-Z1WA7D42760</t>
  </si>
  <si>
    <t>LPD-Z1WA7821128</t>
  </si>
  <si>
    <t>LPD-Z1WA7820928</t>
  </si>
  <si>
    <t>LPD-Z1WA7820716</t>
  </si>
  <si>
    <t>LPD-Z1WA7820616</t>
  </si>
  <si>
    <t>LPD-Z1WA7821228</t>
  </si>
  <si>
    <t>LPD-Z1WA7820816</t>
  </si>
  <si>
    <t>LPD-Z1WA7793738</t>
  </si>
  <si>
    <t>LPD-Z1WA7794307</t>
  </si>
  <si>
    <t>LPD-Z1WA7799338</t>
  </si>
  <si>
    <t>LPD-Z4WA7793507</t>
  </si>
  <si>
    <t>LPD-Z4WA7793307</t>
  </si>
  <si>
    <t>LPD-Z4WA7820016</t>
  </si>
  <si>
    <t>LPD-Z4WA7820416</t>
  </si>
  <si>
    <t>LPD-Z4WA7799138</t>
  </si>
  <si>
    <t>LPD-Z4WA7799738</t>
  </si>
  <si>
    <t>LPD-Z4WA7821428</t>
  </si>
  <si>
    <t>LPD-Z4WA7D42760</t>
  </si>
  <si>
    <t>LPD-Z4WA7821128</t>
  </si>
  <si>
    <t>LPD-Z4WA7820928</t>
  </si>
  <si>
    <t>LPD-Z4WA7820716</t>
  </si>
  <si>
    <t>LPD-Z4WA7820616</t>
  </si>
  <si>
    <t>LPD-Z4WA7821228</t>
  </si>
  <si>
    <t>LPD-Z4WA7820816</t>
  </si>
  <si>
    <t>LPD-Z4WA7793738</t>
  </si>
  <si>
    <t>LPD-Z4WA7794307</t>
  </si>
  <si>
    <t>LPD-Z4WA7799338</t>
  </si>
  <si>
    <t>LPD-793507</t>
  </si>
  <si>
    <t>LPD-793307</t>
  </si>
  <si>
    <t>LPD-820016</t>
  </si>
  <si>
    <t>LPD-820416</t>
  </si>
  <si>
    <t>LPD-799138</t>
  </si>
  <si>
    <t>LPD-799738</t>
  </si>
  <si>
    <t>LPD-821428</t>
  </si>
  <si>
    <t>LPD-D42760</t>
  </si>
  <si>
    <t>LPD-821128</t>
  </si>
  <si>
    <t>LPD-820928</t>
  </si>
  <si>
    <t>LPD-820716</t>
  </si>
  <si>
    <t>LPD-820616</t>
  </si>
  <si>
    <t>LPD-821228</t>
  </si>
  <si>
    <t>LPD-820816</t>
  </si>
  <si>
    <t>LPD-793738</t>
  </si>
  <si>
    <t>LPD-794307</t>
  </si>
  <si>
    <t>LPD-799338</t>
  </si>
  <si>
    <t>Order Form Inputs</t>
  </si>
  <si>
    <t>Infor SKU Match</t>
  </si>
  <si>
    <t>Infor SKU</t>
  </si>
  <si>
    <t>Row Labels</t>
  </si>
  <si>
    <t>Sum of Sq Ft</t>
  </si>
  <si>
    <t>Sum of Total</t>
  </si>
  <si>
    <t>PRDUCT   (MLD/DRL)</t>
  </si>
  <si>
    <t>MLD</t>
  </si>
  <si>
    <t>Design</t>
  </si>
  <si>
    <t>Infor Part</t>
  </si>
  <si>
    <t>MLD-4873-793507</t>
  </si>
  <si>
    <t>MLD-4873-793307</t>
  </si>
  <si>
    <t>MLD-4873-820016</t>
  </si>
  <si>
    <t>MLD-4873-820416</t>
  </si>
  <si>
    <t>MLD-4873-799138</t>
  </si>
  <si>
    <t>MLD-4873-799738</t>
  </si>
  <si>
    <t>MLD-4873-821428</t>
  </si>
  <si>
    <t>MLD-4873-D42760</t>
  </si>
  <si>
    <t>MLD-4873-821128</t>
  </si>
  <si>
    <t>MLD-4873-820928</t>
  </si>
  <si>
    <t>MLD-4873-820716</t>
  </si>
  <si>
    <t>MLD-4873-820616</t>
  </si>
  <si>
    <t>MLD-4873-821228</t>
  </si>
  <si>
    <t>MLD-4873-820816</t>
  </si>
  <si>
    <t>MLD-4873-793738</t>
  </si>
  <si>
    <t>MLD-4873-794307</t>
  </si>
  <si>
    <t>MLD-4873-799338</t>
  </si>
  <si>
    <t>MLD-4632-793507</t>
  </si>
  <si>
    <t>MLD-4632-793307</t>
  </si>
  <si>
    <t>MLD-4632-820016</t>
  </si>
  <si>
    <t>MLD-4632-820416</t>
  </si>
  <si>
    <t>MLD-4632-799138</t>
  </si>
  <si>
    <t>MLD-4632-799738</t>
  </si>
  <si>
    <t>MLD-4632-821428</t>
  </si>
  <si>
    <t>MLD-4632-D42760</t>
  </si>
  <si>
    <t>MLD-4632-821128</t>
  </si>
  <si>
    <t>MLD-4632-820928</t>
  </si>
  <si>
    <t>MLD-4632-820716</t>
  </si>
  <si>
    <t>MLD-4632-820616</t>
  </si>
  <si>
    <t>MLD-4632-821228</t>
  </si>
  <si>
    <t>MLD-4632-820816</t>
  </si>
  <si>
    <t>MLD-4632-793738</t>
  </si>
  <si>
    <t>MLD-4632-794307</t>
  </si>
  <si>
    <t>MLD-4632-799338</t>
  </si>
  <si>
    <t>MLD-WP22-793507</t>
  </si>
  <si>
    <t>MLD-WP22-793307</t>
  </si>
  <si>
    <t>MLD-WP22-820016</t>
  </si>
  <si>
    <t>MLD-WP22-820416</t>
  </si>
  <si>
    <t>MLD-WP22-799138</t>
  </si>
  <si>
    <t>MLD-WP22-799738</t>
  </si>
  <si>
    <t>MLD-WP22-821428</t>
  </si>
  <si>
    <t>MLD-WP22-D42760</t>
  </si>
  <si>
    <t>MLD-WP22-821128</t>
  </si>
  <si>
    <t>MLD-WP22-820928</t>
  </si>
  <si>
    <t>MLD-WP22-820716</t>
  </si>
  <si>
    <t>MLD-WP22-820616</t>
  </si>
  <si>
    <t>MLD-WP22-821228</t>
  </si>
  <si>
    <t>MLD-WP22-820816</t>
  </si>
  <si>
    <t>MLD-WP22-793738</t>
  </si>
  <si>
    <t>MLD-WP22-794307</t>
  </si>
  <si>
    <t>MLD-WP22-799338</t>
  </si>
  <si>
    <t>MLD-4766-793507</t>
  </si>
  <si>
    <t>MLD-4766-793307</t>
  </si>
  <si>
    <t>MLD-4766-820016</t>
  </si>
  <si>
    <t>MLD-4766-820416</t>
  </si>
  <si>
    <t>MLD-4766-799138</t>
  </si>
  <si>
    <t>MLD-4766-799738</t>
  </si>
  <si>
    <t>MLD-4766-821428</t>
  </si>
  <si>
    <t>MLD-4766-D42760</t>
  </si>
  <si>
    <t>MLD-4766-821128</t>
  </si>
  <si>
    <t>MLD-4766-820928</t>
  </si>
  <si>
    <t>MLD-4766-820716</t>
  </si>
  <si>
    <t>MLD-4766-820616</t>
  </si>
  <si>
    <t>MLD-4766-821228</t>
  </si>
  <si>
    <t>MLD-4766-820816</t>
  </si>
  <si>
    <t>MLD-4766-793738</t>
  </si>
  <si>
    <t>MLD-4766-794307</t>
  </si>
  <si>
    <t>MLD-4766-799338</t>
  </si>
  <si>
    <t>MLD-4022-793507</t>
  </si>
  <si>
    <t>MLD-4022-793307</t>
  </si>
  <si>
    <t>MLD-4022-820016</t>
  </si>
  <si>
    <t>MLD-4022-820416</t>
  </si>
  <si>
    <t>MLD-4022-799138</t>
  </si>
  <si>
    <t>MLD-4022-799738</t>
  </si>
  <si>
    <t>MLD-4022-821428</t>
  </si>
  <si>
    <t>MLD-4022-D42760</t>
  </si>
  <si>
    <t>MLD-4022-821128</t>
  </si>
  <si>
    <t>MLD-4022-820928</t>
  </si>
  <si>
    <t>MLD-4022-820716</t>
  </si>
  <si>
    <t>MLD-4022-820616</t>
  </si>
  <si>
    <t>MLD-4022-821228</t>
  </si>
  <si>
    <t>MLD-4022-820816</t>
  </si>
  <si>
    <t>MLD-4022-793738</t>
  </si>
  <si>
    <t>MLD-4022-794307</t>
  </si>
  <si>
    <t>MLD-4022-799338</t>
  </si>
  <si>
    <t>H4000246</t>
  </si>
  <si>
    <t>H4000247</t>
  </si>
  <si>
    <t>H4000248</t>
  </si>
  <si>
    <t>H4000249</t>
  </si>
  <si>
    <t>H4000250</t>
  </si>
  <si>
    <t>H4000251</t>
  </si>
  <si>
    <t>H4000252</t>
  </si>
  <si>
    <t>H4000253</t>
  </si>
  <si>
    <t>H4000254</t>
  </si>
  <si>
    <t>H4000255</t>
  </si>
  <si>
    <t>H4000256</t>
  </si>
  <si>
    <t>H4000257</t>
  </si>
  <si>
    <t>H4000258</t>
  </si>
  <si>
    <t>H4000259</t>
  </si>
  <si>
    <t>H4000260</t>
  </si>
  <si>
    <t>H4000261</t>
  </si>
  <si>
    <t>H4000262</t>
  </si>
  <si>
    <t>H4000212</t>
  </si>
  <si>
    <t>H4000213</t>
  </si>
  <si>
    <t>H4000214</t>
  </si>
  <si>
    <t>H4000215</t>
  </si>
  <si>
    <t>H4000216</t>
  </si>
  <si>
    <t>H4000217</t>
  </si>
  <si>
    <t>H4000218</t>
  </si>
  <si>
    <t>H4000219</t>
  </si>
  <si>
    <t>H4000220</t>
  </si>
  <si>
    <t>H4000221</t>
  </si>
  <si>
    <t>H4000222</t>
  </si>
  <si>
    <t>H4000223</t>
  </si>
  <si>
    <t>H4000224</t>
  </si>
  <si>
    <t>H4000225</t>
  </si>
  <si>
    <t>H4000226</t>
  </si>
  <si>
    <t>H4000227</t>
  </si>
  <si>
    <t>H4000228</t>
  </si>
  <si>
    <t>H4000195</t>
  </si>
  <si>
    <t>H4000196</t>
  </si>
  <si>
    <t>H4000197</t>
  </si>
  <si>
    <t>H4000198</t>
  </si>
  <si>
    <t>H4000199</t>
  </si>
  <si>
    <t>H4000200</t>
  </si>
  <si>
    <t>H4000201</t>
  </si>
  <si>
    <t>H4000202</t>
  </si>
  <si>
    <t>H4000203</t>
  </si>
  <si>
    <t>H4000204</t>
  </si>
  <si>
    <t>H4000205</t>
  </si>
  <si>
    <t>H4000206</t>
  </si>
  <si>
    <t>H4000207</t>
  </si>
  <si>
    <t>H4000208</t>
  </si>
  <si>
    <t>H4000209</t>
  </si>
  <si>
    <t>H4000210</t>
  </si>
  <si>
    <t>H4000211</t>
  </si>
  <si>
    <t>H4000144</t>
  </si>
  <si>
    <t>H4000145</t>
  </si>
  <si>
    <t>H4000146</t>
  </si>
  <si>
    <t>H4000147</t>
  </si>
  <si>
    <t>H4000148</t>
  </si>
  <si>
    <t>H4000149</t>
  </si>
  <si>
    <t>H4000150</t>
  </si>
  <si>
    <t>H4000151</t>
  </si>
  <si>
    <t>H4000152</t>
  </si>
  <si>
    <t>H4000153</t>
  </si>
  <si>
    <t>H4000154</t>
  </si>
  <si>
    <t>H4000155</t>
  </si>
  <si>
    <t>H4000156</t>
  </si>
  <si>
    <t>H4000157</t>
  </si>
  <si>
    <t>H4000158</t>
  </si>
  <si>
    <t>H4000159</t>
  </si>
  <si>
    <t>H4000160</t>
  </si>
  <si>
    <t>H4000076</t>
  </si>
  <si>
    <t>H4000077</t>
  </si>
  <si>
    <t>H4000078</t>
  </si>
  <si>
    <t>H4000079</t>
  </si>
  <si>
    <t>H4000080</t>
  </si>
  <si>
    <t>H4000081</t>
  </si>
  <si>
    <t>H4000082</t>
  </si>
  <si>
    <t>H4000083</t>
  </si>
  <si>
    <t>H4000084</t>
  </si>
  <si>
    <t>H4000085</t>
  </si>
  <si>
    <t>H4000086</t>
  </si>
  <si>
    <t>H4000087</t>
  </si>
  <si>
    <t>H4000088</t>
  </si>
  <si>
    <t>H4000089</t>
  </si>
  <si>
    <t>H4000090</t>
  </si>
  <si>
    <t>H4000091</t>
  </si>
  <si>
    <t>H4000092</t>
  </si>
  <si>
    <t>PO No</t>
  </si>
  <si>
    <t>Customer</t>
  </si>
  <si>
    <t>Job Name</t>
  </si>
  <si>
    <t>Item Type</t>
  </si>
  <si>
    <t>Price</t>
  </si>
  <si>
    <t>↓ To update, right click and choose "Refresh" (will auto refresh when file is opened).</t>
  </si>
  <si>
    <t>Ck</t>
  </si>
  <si>
    <t>Material</t>
  </si>
  <si>
    <t>Price/ft2</t>
  </si>
  <si>
    <t>=IF($B15="Slab",$B15,"")</t>
  </si>
  <si>
    <t>LPD-SLABDOOR79247-875</t>
  </si>
  <si>
    <t>LPD-SLABDOOR793507-875</t>
  </si>
  <si>
    <t>LPD-SLABDOOR793307-875</t>
  </si>
  <si>
    <t>LPD-SLABDOOR820016-875</t>
  </si>
  <si>
    <t>LPD-SLABDOOR820416-875</t>
  </si>
  <si>
    <t>LPD-SLABDOOR799138-875</t>
  </si>
  <si>
    <t>LPD-SLABDOOR799738-875</t>
  </si>
  <si>
    <t>LPD-SLABDOOR821428-875</t>
  </si>
  <si>
    <t>LPD-SLABDOORD42760-875</t>
  </si>
  <si>
    <t>LPD-SLABDOOR821128-875</t>
  </si>
  <si>
    <t>LPD-SLABDOOR820928-875</t>
  </si>
  <si>
    <t>LPD-SLABDOOR820716-875</t>
  </si>
  <si>
    <t>LPD-SLABDOOR820616-875</t>
  </si>
  <si>
    <t>LPD-SLABDOOR821228-875</t>
  </si>
  <si>
    <t>LPD-SLABDOOR820816-875</t>
  </si>
  <si>
    <t>LPD-SLABDOOR793738-875</t>
  </si>
  <si>
    <t>LPD-SLABDOOR794307-875</t>
  </si>
  <si>
    <t>LPD-SLABDOOR799338-875</t>
  </si>
  <si>
    <t>Ship to City/ State/ZIP:</t>
  </si>
  <si>
    <t>D327</t>
  </si>
  <si>
    <t>WHITE CYPRESS</t>
  </si>
  <si>
    <t>RANDOLPH FOREST</t>
  </si>
  <si>
    <t>DERING FOREST</t>
  </si>
  <si>
    <t>WHITE RIVER FOREST</t>
  </si>
  <si>
    <t>AVONDALE ASH</t>
  </si>
  <si>
    <t>FRISTON ASH</t>
  </si>
  <si>
    <t>VALLEY FORGE ELM</t>
  </si>
  <si>
    <t>HIGH LINE</t>
  </si>
  <si>
    <t>NEOWALNUT</t>
  </si>
  <si>
    <t>PORTICO TEAK</t>
  </si>
  <si>
    <t>PEPPERDUST</t>
  </si>
  <si>
    <t>White Cypress    7976-79</t>
  </si>
  <si>
    <t>Randolph Forest    8225-79</t>
  </si>
  <si>
    <t>Dering Forest    8226-79</t>
  </si>
  <si>
    <t>White River Forest    8227-79</t>
  </si>
  <si>
    <t>Avondale Ash    8228-79</t>
  </si>
  <si>
    <t>Friston Ash    8229-79</t>
  </si>
  <si>
    <t>Valley Forge Elm    8231-79</t>
  </si>
  <si>
    <t>High Line    7970-28</t>
  </si>
  <si>
    <t>Neowalnut    7991-28</t>
  </si>
  <si>
    <t>Portico Teak    8210-28</t>
  </si>
  <si>
    <t>Pepperdust    D327-60</t>
  </si>
  <si>
    <t>LPD-Z1WA1797679</t>
  </si>
  <si>
    <t>LPD-Z1WA1822579</t>
  </si>
  <si>
    <t>LPD-Z1WA1822679</t>
  </si>
  <si>
    <t>LPD-Z1WA1822779</t>
  </si>
  <si>
    <t>LPD-Z1WA1822879</t>
  </si>
  <si>
    <t>LPD-Z1WA1822979</t>
  </si>
  <si>
    <t>LPD-Z1WA1823179</t>
  </si>
  <si>
    <t>LPD-Z1WA1797028</t>
  </si>
  <si>
    <t>LPD-Z1WA1799128</t>
  </si>
  <si>
    <t>LPD-Z1WA1821028</t>
  </si>
  <si>
    <t>LPD-Z1WA1D32760</t>
  </si>
  <si>
    <t>LPD-Z4WA1797679</t>
  </si>
  <si>
    <t>LPD-Z4WA1822579</t>
  </si>
  <si>
    <t>LPD-Z4WA1822679</t>
  </si>
  <si>
    <t>LPD-Z4WA1822779</t>
  </si>
  <si>
    <t>LPD-Z4WA1822879</t>
  </si>
  <si>
    <t>LPD-Z4WA1822979</t>
  </si>
  <si>
    <t>LPD-Z4WA1823179</t>
  </si>
  <si>
    <t>LPD-Z4WA1797028</t>
  </si>
  <si>
    <t>LPD-Z4WA1799128</t>
  </si>
  <si>
    <t>LPD-Z4WA1821028</t>
  </si>
  <si>
    <t>LPD-Z4WA1D32760</t>
  </si>
  <si>
    <t>LPD-Z2WA2797679</t>
  </si>
  <si>
    <t>LPD-Z2WA2822579</t>
  </si>
  <si>
    <t>LPD-Z2WA2822679</t>
  </si>
  <si>
    <t>LPD-Z2WA2822779</t>
  </si>
  <si>
    <t>LPD-Z2WA2822879</t>
  </si>
  <si>
    <t>LPD-Z2WA2822979</t>
  </si>
  <si>
    <t>LPD-Z2WA2823179</t>
  </si>
  <si>
    <t>LPD-Z2WA2799128</t>
  </si>
  <si>
    <t>LPD-Z2WA2821028</t>
  </si>
  <si>
    <t>LPD-Z2WA2D32760</t>
  </si>
  <si>
    <t>LPD-Z5WA2797679</t>
  </si>
  <si>
    <t>LPD-Z5WA2822579</t>
  </si>
  <si>
    <t>LPD-Z5WA2822679</t>
  </si>
  <si>
    <t>LPD-Z5WA2822779</t>
  </si>
  <si>
    <t>LPD-Z5WA2822879</t>
  </si>
  <si>
    <t>LPD-Z5WA2822979</t>
  </si>
  <si>
    <t>LPD-Z5WA2823179</t>
  </si>
  <si>
    <t>LPD-Z5WA2797028</t>
  </si>
  <si>
    <t>LPD-Z5WA2799128</t>
  </si>
  <si>
    <t>LPD-Z5WA2821028</t>
  </si>
  <si>
    <t>LPD-Z5WA2D32760</t>
  </si>
  <si>
    <t>LPD-Z1WA3797679</t>
  </si>
  <si>
    <t>LPD-Z1WA3822579</t>
  </si>
  <si>
    <t>LPD-Z1WA3822679</t>
  </si>
  <si>
    <t>LPD-Z1WA3822779</t>
  </si>
  <si>
    <t>LPD-Z1WA3822879</t>
  </si>
  <si>
    <t>LPD-Z1WA3822979</t>
  </si>
  <si>
    <t>LPD-Z1WA3823179</t>
  </si>
  <si>
    <t>LPD-Z1WA3797028</t>
  </si>
  <si>
    <t>LPD-Z1WA3799128</t>
  </si>
  <si>
    <t>LPD-Z1WA3821028</t>
  </si>
  <si>
    <t>LPD-Z1WA3D32760</t>
  </si>
  <si>
    <t>LPD-Z4WA3797679</t>
  </si>
  <si>
    <t>LPD-Z4WA3822579</t>
  </si>
  <si>
    <t>LPD-Z4WA3822679</t>
  </si>
  <si>
    <t>LPD-Z4WA3822779</t>
  </si>
  <si>
    <t>LPD-Z4WA3822879</t>
  </si>
  <si>
    <t>LPD-Z4WA3822979</t>
  </si>
  <si>
    <t>LPD-Z4WA3823179</t>
  </si>
  <si>
    <t>LPD-Z4WA3797028</t>
  </si>
  <si>
    <t>LPD-Z4WA3799128</t>
  </si>
  <si>
    <t>LPD-Z4WA3821028</t>
  </si>
  <si>
    <t>LPD-Z4WA3D32760</t>
  </si>
  <si>
    <t>LPD-Z2WA4797679</t>
  </si>
  <si>
    <t>LPD-Z2WA4822579</t>
  </si>
  <si>
    <t>LPD-Z2WA4822679</t>
  </si>
  <si>
    <t>LPD-Z2WA4822779</t>
  </si>
  <si>
    <t>LPD-Z2WA4822879</t>
  </si>
  <si>
    <t>LPD-Z2WA4822979</t>
  </si>
  <si>
    <t>LPD-Z2WA4823179</t>
  </si>
  <si>
    <t>LPD-Z2WA4797028</t>
  </si>
  <si>
    <t>LPD-Z2WA4799128</t>
  </si>
  <si>
    <t>LPD-Z2WA4821028</t>
  </si>
  <si>
    <t>LPD-Z2WA4D32760</t>
  </si>
  <si>
    <t>LPD-Z5WA4797679</t>
  </si>
  <si>
    <t>LPD-Z5WA4822579</t>
  </si>
  <si>
    <t>LPD-Z5WA4822679</t>
  </si>
  <si>
    <t>LPD-Z5WA4822779</t>
  </si>
  <si>
    <t>LPD-Z5WA4822879</t>
  </si>
  <si>
    <t>LPD-Z5WA4822979</t>
  </si>
  <si>
    <t>LPD-Z5WA4823179</t>
  </si>
  <si>
    <t>LPD-Z5WA4797028</t>
  </si>
  <si>
    <t>LPD-Z5WA4799128</t>
  </si>
  <si>
    <t>LPD-Z5WA4821028</t>
  </si>
  <si>
    <t>LPD-Z5WA4D32760</t>
  </si>
  <si>
    <t>LPD-Z3WA5797679</t>
  </si>
  <si>
    <t>LPD-Z3WA5822579</t>
  </si>
  <si>
    <t>LPD-Z3WA5822679</t>
  </si>
  <si>
    <t>LPD-Z3WA5822779</t>
  </si>
  <si>
    <t>LPD-Z3WA5822879</t>
  </si>
  <si>
    <t>LPD-Z3WA5822979</t>
  </si>
  <si>
    <t>LPD-Z3WA5823179</t>
  </si>
  <si>
    <t>LPD-Z3WA5797028</t>
  </si>
  <si>
    <t>LPD-Z3WA5799128</t>
  </si>
  <si>
    <t>LPD-Z3WA5821028</t>
  </si>
  <si>
    <t>LPD-Z3WA5D32760</t>
  </si>
  <si>
    <t>LPD-Z6WA5797679</t>
  </si>
  <si>
    <t>LPD-Z6WA5822579</t>
  </si>
  <si>
    <t>LPD-Z6WA5822679</t>
  </si>
  <si>
    <t>LPD-Z6WA5822779</t>
  </si>
  <si>
    <t>LPD-Z6WA5822879</t>
  </si>
  <si>
    <t>LPD-Z6WA5822979</t>
  </si>
  <si>
    <t>LPD-Z6WA5823179</t>
  </si>
  <si>
    <t>LPD-Z6WA5797028</t>
  </si>
  <si>
    <t>LPD-Z6WA5799128</t>
  </si>
  <si>
    <t>LPD-Z6WA5821028</t>
  </si>
  <si>
    <t>LPD-Z6WA5D32760</t>
  </si>
  <si>
    <t>LPD-Z2WA6797679</t>
  </si>
  <si>
    <t>LPD-Z2WA6822679</t>
  </si>
  <si>
    <t>LPD-Z2WA6822779</t>
  </si>
  <si>
    <t>LPD-Z2WA6822879</t>
  </si>
  <si>
    <t>LPD-Z2WA6822979</t>
  </si>
  <si>
    <t>LPD-Z2WA6823179</t>
  </si>
  <si>
    <t>LPD-Z2WA6797028</t>
  </si>
  <si>
    <t>LPD-Z2WA6799128</t>
  </si>
  <si>
    <t>LPD-Z2WA6821028</t>
  </si>
  <si>
    <t>LPD-Z2WA6D32760</t>
  </si>
  <si>
    <t>LPD-Z5WA6797679</t>
  </si>
  <si>
    <t>LPD-Z5WA6822579</t>
  </si>
  <si>
    <t>LPD-Z5WA6822679</t>
  </si>
  <si>
    <t>LPD-Z5WA6822779</t>
  </si>
  <si>
    <t>LPD-Z5WA6822879</t>
  </si>
  <si>
    <t>LPD-Z5WA6822979</t>
  </si>
  <si>
    <t>LPD-Z5WA6823179</t>
  </si>
  <si>
    <t>LPD-Z5WA6797028</t>
  </si>
  <si>
    <t>LPD-Z5WA6799128</t>
  </si>
  <si>
    <t>LPD-Z5WA6D32760</t>
  </si>
  <si>
    <t>LPD-Z1WA7797679</t>
  </si>
  <si>
    <t>LPD-Z1WA7822579</t>
  </si>
  <si>
    <t>LPD-Z1WA7822679</t>
  </si>
  <si>
    <t>LPD-Z1WA7822779</t>
  </si>
  <si>
    <t>LPD-Z1WA7822879</t>
  </si>
  <si>
    <t>LPD-Z1WA7822979</t>
  </si>
  <si>
    <t>LPD-Z1WA7823179</t>
  </si>
  <si>
    <t>LPD-Z1WA7797028</t>
  </si>
  <si>
    <t>LPD-Z1WA7799128</t>
  </si>
  <si>
    <t>LPD-Z1WA7821028</t>
  </si>
  <si>
    <t>LPD-Z1WA7D32760</t>
  </si>
  <si>
    <t>4544/4482</t>
  </si>
  <si>
    <t>LPD-Z4WA7797679</t>
  </si>
  <si>
    <t>LPD-Z4WA7822579</t>
  </si>
  <si>
    <t>LPD-Z4WA7822779</t>
  </si>
  <si>
    <t>LPD-Z4WA7822879</t>
  </si>
  <si>
    <t>LPD-Z4WA7822979</t>
  </si>
  <si>
    <t>LPD-Z4WA7797028</t>
  </si>
  <si>
    <t>LPD-Z4WA7799128</t>
  </si>
  <si>
    <t>LPD-Z4WA7821028</t>
  </si>
  <si>
    <t>LPD-Z4WA7D32760</t>
  </si>
  <si>
    <t>MLD-4873-797679</t>
  </si>
  <si>
    <t>MLD-4873-822579</t>
  </si>
  <si>
    <t>MLD-4873-822679</t>
  </si>
  <si>
    <t>MLD-4873-822779</t>
  </si>
  <si>
    <t>MLD-4873-822879</t>
  </si>
  <si>
    <t>MLD-4873-822979</t>
  </si>
  <si>
    <t>MLD-4873-823179</t>
  </si>
  <si>
    <t>MLD-4873-797028</t>
  </si>
  <si>
    <t>MLD-4873-821028</t>
  </si>
  <si>
    <t>MLD-4873-D32760</t>
  </si>
  <si>
    <t>MLD-4632-797679</t>
  </si>
  <si>
    <t>MLD-4632-822579</t>
  </si>
  <si>
    <t>MLD-4632-822679</t>
  </si>
  <si>
    <t>MLD-4632-822779</t>
  </si>
  <si>
    <t>MLD-4632-822879</t>
  </si>
  <si>
    <t>MLD-4632-822979</t>
  </si>
  <si>
    <t>MLD-4632-823179</t>
  </si>
  <si>
    <t>MLD-4632-797028</t>
  </si>
  <si>
    <t>MLD-4632-799128</t>
  </si>
  <si>
    <t>MLD-4632-821028</t>
  </si>
  <si>
    <t>MLD-4632-D32760</t>
  </si>
  <si>
    <t>MLD-WP22-797679</t>
  </si>
  <si>
    <t>MLD-WP22-822579</t>
  </si>
  <si>
    <t>MLD-WP22-822679</t>
  </si>
  <si>
    <t>MLD-WP22-822779</t>
  </si>
  <si>
    <t>MLD-WP22-822879</t>
  </si>
  <si>
    <t>MLD-WP22-822979</t>
  </si>
  <si>
    <t>MLD-WP22-823179</t>
  </si>
  <si>
    <t>MLD-WP22-797028</t>
  </si>
  <si>
    <t>MLD-WP22-799128</t>
  </si>
  <si>
    <t>MLD-WP22-821028</t>
  </si>
  <si>
    <t>MLD-WP22-D32760</t>
  </si>
  <si>
    <t>MLD-4766-797679</t>
  </si>
  <si>
    <t>MLD-4766-822579</t>
  </si>
  <si>
    <t>MLD-4766-822679</t>
  </si>
  <si>
    <t>MLD-4766-822779</t>
  </si>
  <si>
    <t>MLD-4766-822879</t>
  </si>
  <si>
    <t>MLD-4766-822979</t>
  </si>
  <si>
    <t>MLD-4766-823179</t>
  </si>
  <si>
    <t>MLD-4766-797028</t>
  </si>
  <si>
    <t>MLD-4766-799128</t>
  </si>
  <si>
    <t>MLD-4766-821028</t>
  </si>
  <si>
    <t>MLD-4766-D32760</t>
  </si>
  <si>
    <t>MLD-4022-797679</t>
  </si>
  <si>
    <t>MLD-4022-822579</t>
  </si>
  <si>
    <t>MLD-4022-822679</t>
  </si>
  <si>
    <t>MLD-4022-822779</t>
  </si>
  <si>
    <t>MLD-4022-822879</t>
  </si>
  <si>
    <t>MLD-4022-822979</t>
  </si>
  <si>
    <t>MLD-4022-823179</t>
  </si>
  <si>
    <t>MLD-4022-797028</t>
  </si>
  <si>
    <t>MLD-4022-799128</t>
  </si>
  <si>
    <t>MLD-4022-821028</t>
  </si>
  <si>
    <t>MLD-4022-D32760</t>
  </si>
  <si>
    <t>7976</t>
  </si>
  <si>
    <t>8225</t>
  </si>
  <si>
    <t>8226</t>
  </si>
  <si>
    <t>8227</t>
  </si>
  <si>
    <t>8228</t>
  </si>
  <si>
    <t>8229</t>
  </si>
  <si>
    <t>8231</t>
  </si>
  <si>
    <t>7970</t>
  </si>
  <si>
    <t>8210</t>
  </si>
  <si>
    <t>79</t>
  </si>
  <si>
    <t>Min H=8 1/16" Max H=90 9/16"                    Min W=9 1/2" Max W=28"</t>
  </si>
  <si>
    <t>Quarter Round 5174</t>
  </si>
  <si>
    <t>MLD-5174-793507</t>
  </si>
  <si>
    <t>MLD-5174-793307</t>
  </si>
  <si>
    <t>MLD-5174-820016</t>
  </si>
  <si>
    <t>MLD-5174-820416</t>
  </si>
  <si>
    <t>MLD-5174-799138</t>
  </si>
  <si>
    <t>MLD-5174-799738</t>
  </si>
  <si>
    <t>MLD-5174-821428</t>
  </si>
  <si>
    <t>MLD-5174-D42760</t>
  </si>
  <si>
    <t>MLD-5174-821128</t>
  </si>
  <si>
    <t>MLD-5174-820928</t>
  </si>
  <si>
    <t>MLD-5174-820716</t>
  </si>
  <si>
    <t>MLD-5174-820616</t>
  </si>
  <si>
    <t>MLD-5174-821228</t>
  </si>
  <si>
    <t>MLD-5174-820816</t>
  </si>
  <si>
    <t>MLD-5174-793738</t>
  </si>
  <si>
    <t>MLD-5174-797679</t>
  </si>
  <si>
    <t>MLD-5174-822579</t>
  </si>
  <si>
    <t>MLD-5174-822679</t>
  </si>
  <si>
    <t>MLD-5174-822779</t>
  </si>
  <si>
    <t>MLD-5174-822879</t>
  </si>
  <si>
    <t>MLD-5174-822979</t>
  </si>
  <si>
    <t>MLD-5174-823179</t>
  </si>
  <si>
    <t>MLD-5174-797028</t>
  </si>
  <si>
    <t>MLD-5174-799128</t>
  </si>
  <si>
    <t>MLD-5174-821028</t>
  </si>
  <si>
    <t>MLD-5174-D32760</t>
  </si>
  <si>
    <t>MLD-5174-794307</t>
  </si>
  <si>
    <t>MLD-5174-799338</t>
  </si>
  <si>
    <t>Shoe Molding 4938</t>
  </si>
  <si>
    <t>MLD-4938-793507</t>
  </si>
  <si>
    <t>MLD-4938-793307</t>
  </si>
  <si>
    <t>MLD-4938-820016</t>
  </si>
  <si>
    <t>MLD-4938-820416</t>
  </si>
  <si>
    <t>MLD-4938-799138</t>
  </si>
  <si>
    <t>MLD-4938-799738</t>
  </si>
  <si>
    <t>MLD-4938-821428</t>
  </si>
  <si>
    <t>MLD-4938-D42760</t>
  </si>
  <si>
    <t>MLD-4938-821128</t>
  </si>
  <si>
    <t>MLD-4938-820928</t>
  </si>
  <si>
    <t>MLD-4938-820716</t>
  </si>
  <si>
    <t>MLD-4938-820616</t>
  </si>
  <si>
    <t>MLD-4938-821228</t>
  </si>
  <si>
    <t>MLD-4938-820816</t>
  </si>
  <si>
    <t>MLD-4938-793738</t>
  </si>
  <si>
    <t>MLD-4938-797679</t>
  </si>
  <si>
    <t>MLD-4938-822579</t>
  </si>
  <si>
    <t>MLD-4938-822679</t>
  </si>
  <si>
    <t>MLD-4938-822779</t>
  </si>
  <si>
    <t>MLD-4938-822879</t>
  </si>
  <si>
    <t>MLD-4938-822979</t>
  </si>
  <si>
    <t>MLD-4938-823179</t>
  </si>
  <si>
    <t>MLD-4938-797028</t>
  </si>
  <si>
    <t>MLD-4938-799128</t>
  </si>
  <si>
    <t>MLD-4938-821028</t>
  </si>
  <si>
    <t>MLD-4938-D32760</t>
  </si>
  <si>
    <t>MLD-4938-794307</t>
  </si>
  <si>
    <t>MLD-4938-799338</t>
  </si>
  <si>
    <t>3/4" Quarter Round 5174</t>
  </si>
  <si>
    <t>Vertical</t>
  </si>
  <si>
    <t>Horizontal</t>
  </si>
  <si>
    <t>LPD-Z2WA2797028</t>
  </si>
  <si>
    <t>LPD-Z2WA6822579</t>
  </si>
  <si>
    <t>LPD-Z5WA6821028</t>
  </si>
  <si>
    <t>LPD-Z1WA7799138</t>
  </si>
  <si>
    <t>MLD-4873-799128</t>
  </si>
  <si>
    <t>8233</t>
  </si>
  <si>
    <t>05</t>
  </si>
  <si>
    <t>AKIRA</t>
  </si>
  <si>
    <t>8234</t>
  </si>
  <si>
    <t>BELAIR</t>
  </si>
  <si>
    <t>8235</t>
  </si>
  <si>
    <t>DAINTREE</t>
  </si>
  <si>
    <t>8236</t>
  </si>
  <si>
    <t>MONTEVERDI</t>
  </si>
  <si>
    <t>8237</t>
  </si>
  <si>
    <t>GREAT BEAR</t>
  </si>
  <si>
    <t>8238</t>
  </si>
  <si>
    <t>FAIRCHILD</t>
  </si>
  <si>
    <t>D379</t>
  </si>
  <si>
    <t>INDIGO</t>
  </si>
  <si>
    <t>Daintree               8235-05</t>
  </si>
  <si>
    <t>Monteverdi          8236-05</t>
  </si>
  <si>
    <t>Belair                    8234-05</t>
  </si>
  <si>
    <t>Akira                     8233-05</t>
  </si>
  <si>
    <t>Great Bear           8237-05</t>
  </si>
  <si>
    <t>Fairchild               8238-05</t>
  </si>
  <si>
    <t>Indigo                   D379-60</t>
  </si>
  <si>
    <t>LPD-Z1WA1823305</t>
  </si>
  <si>
    <t>LPD-Z1WA1823405</t>
  </si>
  <si>
    <t>LPD-Z1WA1823505</t>
  </si>
  <si>
    <t>LPD-Z1WA1823605</t>
  </si>
  <si>
    <t>LPD-Z1WA1823705</t>
  </si>
  <si>
    <t>LPD-Z1WA1823805</t>
  </si>
  <si>
    <t>LPD-Z1WA1D37960</t>
  </si>
  <si>
    <t>LPD-Z4WA1823305</t>
  </si>
  <si>
    <t>LPD-Z4WA1823405</t>
  </si>
  <si>
    <t>LPD-Z4WA1823505</t>
  </si>
  <si>
    <t>LPD-Z4WA1823605</t>
  </si>
  <si>
    <t>LPD-Z4WA1823705</t>
  </si>
  <si>
    <t>LPD-Z4WA17823805</t>
  </si>
  <si>
    <t>LPD-Z4WA1D37960</t>
  </si>
  <si>
    <t>LPD-Z2WA2823305</t>
  </si>
  <si>
    <t>LPD-Z2WA2823405</t>
  </si>
  <si>
    <t>LPD-Z2WA2823505</t>
  </si>
  <si>
    <t>LPD-Z2WA2823605</t>
  </si>
  <si>
    <t>LPD-Z2WA2823705</t>
  </si>
  <si>
    <t>LPD-Z2WA2823805</t>
  </si>
  <si>
    <t>LPD-Z2WA2D37960</t>
  </si>
  <si>
    <t>LPD-Z5WA2823305</t>
  </si>
  <si>
    <t>LPD-Z5WA2823405</t>
  </si>
  <si>
    <t>LPD-Z5WA2823505</t>
  </si>
  <si>
    <t>LPD-Z5WA2823605</t>
  </si>
  <si>
    <t>LPD-Z5WA2823705</t>
  </si>
  <si>
    <t>LPD-Z5WA2823805</t>
  </si>
  <si>
    <t>LPD-Z5WA2D37960</t>
  </si>
  <si>
    <t>LPD-Z1WA3823305</t>
  </si>
  <si>
    <t>LPD-Z1WA3823405</t>
  </si>
  <si>
    <t>LPD-Z1WA3823505</t>
  </si>
  <si>
    <t>LPD-Z1WA3823605</t>
  </si>
  <si>
    <t>LPD-Z1WA3823705</t>
  </si>
  <si>
    <t>LPD-Z1WA3823805</t>
  </si>
  <si>
    <t>LPD-Z1WA3D37960</t>
  </si>
  <si>
    <t>LPD-Z4WA3823305</t>
  </si>
  <si>
    <t>LPD-Z4WA3823405</t>
  </si>
  <si>
    <t>LPD-Z4WA3823505</t>
  </si>
  <si>
    <t>LPD-Z4WA3823605</t>
  </si>
  <si>
    <t>LPD-Z4WA3823705</t>
  </si>
  <si>
    <t>LPD-Z4WA3823805</t>
  </si>
  <si>
    <t>LPD-Z4WA3D37960</t>
  </si>
  <si>
    <t>LPD-Z2WA4823305</t>
  </si>
  <si>
    <t>LPD-Z2WA4823405</t>
  </si>
  <si>
    <t>LPD-Z2WA4823505</t>
  </si>
  <si>
    <t>LPD-Z2WA4823605</t>
  </si>
  <si>
    <t>LPD-Z2WA4823705</t>
  </si>
  <si>
    <t>LPD-Z2WA4823805</t>
  </si>
  <si>
    <t>LPD-Z2WA4D37960</t>
  </si>
  <si>
    <t>LPD-Z5WA4823305</t>
  </si>
  <si>
    <t>LPD-Z5WA4823405</t>
  </si>
  <si>
    <t>LPD-Z5WA4823505</t>
  </si>
  <si>
    <t>LPD-Z5WA4823605</t>
  </si>
  <si>
    <t>LPD-Z5WA4823705</t>
  </si>
  <si>
    <t>LPD-Z5WA4823805</t>
  </si>
  <si>
    <t>LPD-Z5WA4D37960</t>
  </si>
  <si>
    <t>LPD-Z3WA5823305</t>
  </si>
  <si>
    <t>LPD-Z3WA5823405</t>
  </si>
  <si>
    <t>LPD-Z3WA5823505</t>
  </si>
  <si>
    <t>LPD-Z3WA5823605</t>
  </si>
  <si>
    <t>LPD-Z3WA5823705</t>
  </si>
  <si>
    <t>LPD-Z3WA5823805</t>
  </si>
  <si>
    <t>LPD-Z3WA5D37960</t>
  </si>
  <si>
    <t>LPD-Z6WA5823305</t>
  </si>
  <si>
    <t>LPD-Z6WA5823405</t>
  </si>
  <si>
    <t>LPD-Z6WA5823505</t>
  </si>
  <si>
    <t>LPD-Z6WA5823605</t>
  </si>
  <si>
    <t>LPD-Z6WA5823705</t>
  </si>
  <si>
    <t>LPD-Z6WA5823805</t>
  </si>
  <si>
    <t>LPD-Z6WA5D37960</t>
  </si>
  <si>
    <t>LPD-Z2WA6823305</t>
  </si>
  <si>
    <t>LPD-Z2WA6823405</t>
  </si>
  <si>
    <t>LPD-Z2WA6823505</t>
  </si>
  <si>
    <t>LPD-Z2WA6823605</t>
  </si>
  <si>
    <t>LPD-Z2WA6823705</t>
  </si>
  <si>
    <t>LPD-Z2WA6823805</t>
  </si>
  <si>
    <t>LPD-Z2WA6D37960</t>
  </si>
  <si>
    <t>LPD-Z5WA6823305</t>
  </si>
  <si>
    <t>LPD-Z5WA6823405</t>
  </si>
  <si>
    <t>LPD-Z5WA6823505</t>
  </si>
  <si>
    <t>LPD-Z5WA6823605</t>
  </si>
  <si>
    <t>LPD-Z5WA6823705</t>
  </si>
  <si>
    <t>LPD-Z5WA6823805</t>
  </si>
  <si>
    <t>LPD-Z5WA6D37960</t>
  </si>
  <si>
    <t>LPD-Z1WA7823305</t>
  </si>
  <si>
    <t>LPD-Z1WA7823405</t>
  </si>
  <si>
    <t>LPD-Z1WA7823505</t>
  </si>
  <si>
    <t>LPD-Z1WA7823605</t>
  </si>
  <si>
    <t>LPD-Z1WA7823705</t>
  </si>
  <si>
    <t>LPD-Z1WA7823805</t>
  </si>
  <si>
    <t>LPD-Z1WA7D37960</t>
  </si>
  <si>
    <t>LPD-Z4WA7823305</t>
  </si>
  <si>
    <t>LPD-Z4WA7823405</t>
  </si>
  <si>
    <t>LPD-Z4WA7823505</t>
  </si>
  <si>
    <t>LPD-Z4WA7823605</t>
  </si>
  <si>
    <t>LPD-Z4WA7823705</t>
  </si>
  <si>
    <t>LPD-Z4WA7823805</t>
  </si>
  <si>
    <t>LPD-Z4WA7D37960</t>
  </si>
  <si>
    <t>LPD-SLABDOOR823305-875</t>
  </si>
  <si>
    <t>LPD-SLABDOOR823405-875</t>
  </si>
  <si>
    <t>LPD-SLABDOOR823505-875</t>
  </si>
  <si>
    <t>LPD-SLABDOOR823605-875</t>
  </si>
  <si>
    <t>LPD-SLABDOOR823705-875</t>
  </si>
  <si>
    <t>LPD-SLABDOOR823805-875</t>
  </si>
  <si>
    <t>LPD-SLABDOORD37960-875</t>
  </si>
  <si>
    <t>LPD-SLABDOOR797679-875</t>
  </si>
  <si>
    <t>LPD-SLABDOOR822579-875</t>
  </si>
  <si>
    <t>LPD-SLABDOOR822679-875</t>
  </si>
  <si>
    <t>LPD-SLABDOOR822779-875</t>
  </si>
  <si>
    <t>LPD-SLABDOOR822879-875</t>
  </si>
  <si>
    <t>LPD-SLABDOOR822979-875</t>
  </si>
  <si>
    <t>LPD-SLABDOOR823179-875</t>
  </si>
  <si>
    <t>LPD-SLABDOOR797028-875</t>
  </si>
  <si>
    <t>LPD-SLABDOOR799128-875</t>
  </si>
  <si>
    <t>LPD-SLABDOOR821028-875</t>
  </si>
  <si>
    <t>LPD-SLABDOORD32760-875</t>
  </si>
  <si>
    <t>LPD-823305</t>
  </si>
  <si>
    <t>LPD-823405</t>
  </si>
  <si>
    <t>LPD-823505</t>
  </si>
  <si>
    <t>LPD-823605</t>
  </si>
  <si>
    <t>LPD-823705</t>
  </si>
  <si>
    <t>LPD-823805</t>
  </si>
  <si>
    <t>LPD-D37960</t>
  </si>
  <si>
    <t>MLD-4873-823305</t>
  </si>
  <si>
    <t>MLD-4873-823405</t>
  </si>
  <si>
    <t>MLD-4873-823505</t>
  </si>
  <si>
    <t>MLD-4873-823605</t>
  </si>
  <si>
    <t>MLD-4873-823705</t>
  </si>
  <si>
    <t>MLD-4873-823805</t>
  </si>
  <si>
    <t>MLD-4873-D37960</t>
  </si>
  <si>
    <t>MLD-4632-823305</t>
  </si>
  <si>
    <t>MLD-4632-823405</t>
  </si>
  <si>
    <t>MLD-4632-823505</t>
  </si>
  <si>
    <t>MLD-4632-823605</t>
  </si>
  <si>
    <t>MLD-4632-823705</t>
  </si>
  <si>
    <t>MLD-4632-823805</t>
  </si>
  <si>
    <t>MLD-4632-D37960</t>
  </si>
  <si>
    <t>MLD-WP22-823305</t>
  </si>
  <si>
    <t>MLD-WP22-823405</t>
  </si>
  <si>
    <t>MLD-WP22-823505</t>
  </si>
  <si>
    <t>MLD-WP22-823605</t>
  </si>
  <si>
    <t>MLD-WP22-823705</t>
  </si>
  <si>
    <t>MLD-WP22-823805</t>
  </si>
  <si>
    <t>MLD-WP22-D37960</t>
  </si>
  <si>
    <t>MLD-4766-823305</t>
  </si>
  <si>
    <t>MLD-4766-823405</t>
  </si>
  <si>
    <t>MLD-4766-823505</t>
  </si>
  <si>
    <t>MLD-4766-823605</t>
  </si>
  <si>
    <t>MLD-4766-823705</t>
  </si>
  <si>
    <t>MLD-4766-823805</t>
  </si>
  <si>
    <t>MLD-4766-D37960</t>
  </si>
  <si>
    <t>MLD-5174-823305</t>
  </si>
  <si>
    <t>MLD-5174-823405</t>
  </si>
  <si>
    <t>MLD-5174-823505</t>
  </si>
  <si>
    <t>MLD-5174-823605</t>
  </si>
  <si>
    <t>MLD-5174-823705</t>
  </si>
  <si>
    <t>MLD-5174-823805</t>
  </si>
  <si>
    <t>MLD-5174-D37960</t>
  </si>
  <si>
    <t>MLD-4938-823305</t>
  </si>
  <si>
    <t>MLD-4938-823405</t>
  </si>
  <si>
    <t>MLD-4938-823505</t>
  </si>
  <si>
    <t>MLD-4938-823605</t>
  </si>
  <si>
    <t>MLD-4938-823705</t>
  </si>
  <si>
    <t>MLD-4938-823805</t>
  </si>
  <si>
    <t>MLD-4938-D37960</t>
  </si>
  <si>
    <t>MLD-4022-823305</t>
  </si>
  <si>
    <t>MLD-4022-823405</t>
  </si>
  <si>
    <t>MLD-4022-823505</t>
  </si>
  <si>
    <t>MLD-4022-823605</t>
  </si>
  <si>
    <t>MLD-4022-823705</t>
  </si>
  <si>
    <t>MLD-4022-823805</t>
  </si>
  <si>
    <t>MLD-4022-D37960</t>
  </si>
  <si>
    <t>LPD-Z4WA8793507</t>
  </si>
  <si>
    <t>LPD-Z4WA8793307</t>
  </si>
  <si>
    <t>LPD-Z4WA8820016</t>
  </si>
  <si>
    <t>LPD-Z4WA8820416</t>
  </si>
  <si>
    <t>LPD-Z4WA8799138</t>
  </si>
  <si>
    <t>LPD-Z4WA8799738</t>
  </si>
  <si>
    <t>LPD-Z4WA8821428</t>
  </si>
  <si>
    <t>LPD-Z4WA8D42760</t>
  </si>
  <si>
    <t>LPD-Z4WA8821128</t>
  </si>
  <si>
    <t>LPD-Z4WA8820928</t>
  </si>
  <si>
    <t>LPD-Z4WA8820716</t>
  </si>
  <si>
    <t>LPD-Z4WA8820616</t>
  </si>
  <si>
    <t>LPD-Z4WA8821228</t>
  </si>
  <si>
    <t>LPD-Z4WA8820816</t>
  </si>
  <si>
    <t>LPD-Z4WA8793738</t>
  </si>
  <si>
    <t>LPD-Z4WA8823305</t>
  </si>
  <si>
    <t>LPD-Z4WA8823405</t>
  </si>
  <si>
    <t>LPD-Z4WA8823505</t>
  </si>
  <si>
    <t>LPD-Z4WA8823605</t>
  </si>
  <si>
    <t>LPD-Z4WA8823705</t>
  </si>
  <si>
    <t>LPD-Z4WA8823805</t>
  </si>
  <si>
    <t>LPD-Z4WA8D37960</t>
  </si>
  <si>
    <t>LPD-Z4WA8797679</t>
  </si>
  <si>
    <t>LPD-Z4WA8822579</t>
  </si>
  <si>
    <t>LPD-Z4WA8822679</t>
  </si>
  <si>
    <t>LPD-Z4WA8822779</t>
  </si>
  <si>
    <t>LPD-Z4WA8822879</t>
  </si>
  <si>
    <t>LPD-Z4WA8822979</t>
  </si>
  <si>
    <t>LPD-Z4WA8823179</t>
  </si>
  <si>
    <t>LPD-Z4WA8797028</t>
  </si>
  <si>
    <t>LPD-Z4WA8799128</t>
  </si>
  <si>
    <t>LPD-Z4WA8821028</t>
  </si>
  <si>
    <t>LPD-Z4WA8D32760</t>
  </si>
  <si>
    <t>LPD-Z4WA8794307</t>
  </si>
  <si>
    <t>LPD-Z4WA8799338</t>
  </si>
  <si>
    <t>LPD-Z1WA8793507</t>
  </si>
  <si>
    <t>LPD-Z4WA7823179</t>
  </si>
  <si>
    <t>LPD-Z1WA8793307</t>
  </si>
  <si>
    <t>LPD-Z1WA8820016</t>
  </si>
  <si>
    <t>LPD-Z1WA8820416</t>
  </si>
  <si>
    <t>LPD-Z1WA8799138</t>
  </si>
  <si>
    <t>LPD-Z1WA8799738</t>
  </si>
  <si>
    <t>LPD-Z1WA8821428</t>
  </si>
  <si>
    <t>LPD-Z1WA8D42760</t>
  </si>
  <si>
    <t>LPD-Z1WA8821128</t>
  </si>
  <si>
    <t>LPD-Z1WA8820928</t>
  </si>
  <si>
    <t>LPD-Z1WA8820716</t>
  </si>
  <si>
    <t>LPD-Z1WA8820616</t>
  </si>
  <si>
    <t>LPD-Z1WA8821228</t>
  </si>
  <si>
    <t>LPD-Z1WA8820816</t>
  </si>
  <si>
    <t>LPD-Z1WA8793738</t>
  </si>
  <si>
    <t>LPD-Z1WA8823305</t>
  </si>
  <si>
    <t>LPD-Z1WA8823405</t>
  </si>
  <si>
    <t>LPD-Z1WA8823505</t>
  </si>
  <si>
    <t>LPD-Z1WA8823605</t>
  </si>
  <si>
    <t>LPD-Z1WA8823705</t>
  </si>
  <si>
    <t>LPD-Z1WA8823805</t>
  </si>
  <si>
    <t>LPD-Z1WA8D37960</t>
  </si>
  <si>
    <t>LPD-Z1WA8797679</t>
  </si>
  <si>
    <t>LPD-Z1WA8822579</t>
  </si>
  <si>
    <t>LPD-Z1WA8822679</t>
  </si>
  <si>
    <t>LPD-Z1WA8822779</t>
  </si>
  <si>
    <t>LPD-Z1WA8822879</t>
  </si>
  <si>
    <t>LPD-Z1WA8822979</t>
  </si>
  <si>
    <t>LPD-Z1WA8823179</t>
  </si>
  <si>
    <t>LPD-Z1WA8797028</t>
  </si>
  <si>
    <t>LPD-Z1WA8799128</t>
  </si>
  <si>
    <t>LPD-Z1WA8821028</t>
  </si>
  <si>
    <t>LPD-Z1WA8D32760</t>
  </si>
  <si>
    <t>LPD-Z1WA8794307</t>
  </si>
  <si>
    <t>LPD-Z1WA8799338</t>
  </si>
  <si>
    <t>3Form-Swept Gold</t>
  </si>
  <si>
    <t>3Form-Quattro Carbon 2</t>
  </si>
  <si>
    <t>3Form-Ensign</t>
  </si>
  <si>
    <t>3Form-Glint Gold</t>
  </si>
  <si>
    <t>3Form-Kathali Grays</t>
  </si>
  <si>
    <t>3Form-Wisp Silver</t>
  </si>
  <si>
    <t>3Form-Gingko Thatch</t>
  </si>
  <si>
    <t>Packaging</t>
  </si>
  <si>
    <t>Sub Total</t>
  </si>
  <si>
    <t>PACKAGING FEE</t>
  </si>
  <si>
    <t>8109 F. Street</t>
  </si>
  <si>
    <t>Omaha, NE 68127</t>
  </si>
  <si>
    <t>402-342-4489</t>
  </si>
  <si>
    <t>OHARCO, A Division of Richelieu America Ltd</t>
  </si>
  <si>
    <t>800-228-9460</t>
  </si>
  <si>
    <t>Pricing does not include manufacturing or fuel surcharges that will be billed as a separate line on invoices.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</si>
</sst>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"/>
    <numFmt numFmtId="166" formatCode="[&lt;=9999999]###\-####;\(###\)\ ###\-####"/>
    <numFmt numFmtId="167" formatCode="_(* #,##0_);_(* \(#,##0\);_(* &quot;-&quot;??_);_(@_)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b/>
      <sz val="36"/>
      <name val="Arial"/>
      <family val="2"/>
    </font>
    <font>
      <sz val="12"/>
      <color theme="1"/>
      <name val="Calibri"/>
      <family val="2"/>
      <scheme val="minor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2"/>
      <color rgb="FFFF0000"/>
      <name val="Arial"/>
      <family val="2"/>
    </font>
    <font>
      <b/>
      <sz val="36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sz val="12"/>
      <color theme="0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rgb="FFFF0000"/>
      <name val="Arial"/>
      <family val="2"/>
    </font>
    <font>
      <i/>
      <u/>
      <sz val="10"/>
      <color theme="0" tint="-4.9989318521683403E-2"/>
      <name val="Arial"/>
      <family val="2"/>
    </font>
    <font>
      <i/>
      <sz val="10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10"/>
      <color theme="0" tint="-4.9989318521683403E-2"/>
      <name val="Arial"/>
      <family val="2"/>
    </font>
    <font>
      <sz val="9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309">
    <xf numFmtId="0" fontId="0" fillId="0" borderId="0" xfId="0"/>
    <xf numFmtId="0" fontId="5" fillId="0" borderId="10" xfId="1" applyFont="1" applyBorder="1" applyAlignment="1" applyProtection="1">
      <alignment horizontal="center" vertical="center" wrapText="1"/>
      <protection hidden="1"/>
    </xf>
    <xf numFmtId="0" fontId="5" fillId="0" borderId="4" xfId="1" applyFont="1" applyBorder="1" applyAlignment="1" applyProtection="1">
      <alignment horizontal="center" vertical="center"/>
      <protection hidden="1"/>
    </xf>
    <xf numFmtId="0" fontId="5" fillId="0" borderId="8" xfId="1" applyFont="1" applyBorder="1" applyAlignment="1" applyProtection="1">
      <alignment horizontal="center" vertical="center"/>
      <protection hidden="1"/>
    </xf>
    <xf numFmtId="0" fontId="5" fillId="0" borderId="9" xfId="1" applyFont="1" applyBorder="1" applyAlignment="1" applyProtection="1">
      <alignment horizontal="center" vertical="center" wrapText="1"/>
      <protection hidden="1"/>
    </xf>
    <xf numFmtId="0" fontId="2" fillId="0" borderId="0" xfId="1" applyFont="1" applyAlignment="1" applyProtection="1">
      <alignment horizontal="center" vertical="center"/>
      <protection hidden="1"/>
    </xf>
    <xf numFmtId="0" fontId="5" fillId="0" borderId="15" xfId="1" applyFont="1" applyBorder="1" applyAlignment="1" applyProtection="1">
      <alignment horizontal="center" vertical="center" wrapText="1"/>
      <protection hidden="1"/>
    </xf>
    <xf numFmtId="4" fontId="5" fillId="4" borderId="12" xfId="1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1" applyFont="1" applyFill="1" applyBorder="1" applyAlignment="1" applyProtection="1">
      <alignment horizontal="center" vertical="center"/>
      <protection hidden="1"/>
    </xf>
    <xf numFmtId="0" fontId="1" fillId="0" borderId="0" xfId="1" applyFont="1" applyAlignment="1" applyProtection="1">
      <alignment vertical="center"/>
      <protection hidden="1"/>
    </xf>
    <xf numFmtId="0" fontId="1" fillId="0" borderId="0" xfId="1" applyFont="1" applyAlignment="1" applyProtection="1">
      <alignment vertical="center"/>
      <protection locked="0" hidden="1"/>
    </xf>
    <xf numFmtId="164" fontId="2" fillId="7" borderId="0" xfId="1" applyNumberFormat="1" applyFont="1" applyFill="1" applyAlignment="1" applyProtection="1">
      <alignment horizontal="center" vertical="center"/>
      <protection hidden="1"/>
    </xf>
    <xf numFmtId="167" fontId="2" fillId="7" borderId="0" xfId="3" applyNumberFormat="1" applyFont="1" applyFill="1" applyAlignment="1" applyProtection="1">
      <alignment horizontal="right" vertical="center"/>
      <protection hidden="1"/>
    </xf>
    <xf numFmtId="164" fontId="2" fillId="7" borderId="0" xfId="1" applyNumberFormat="1" applyFont="1" applyFill="1" applyAlignment="1" applyProtection="1">
      <alignment horizontal="right" vertical="center"/>
      <protection hidden="1"/>
    </xf>
    <xf numFmtId="0" fontId="2" fillId="7" borderId="0" xfId="1" applyFont="1" applyFill="1" applyAlignment="1" applyProtection="1">
      <alignment horizontal="right" vertical="center"/>
      <protection hidden="1"/>
    </xf>
    <xf numFmtId="9" fontId="1" fillId="7" borderId="0" xfId="4" applyFont="1" applyFill="1" applyAlignment="1" applyProtection="1">
      <alignment horizontal="center" vertical="center"/>
      <protection hidden="1"/>
    </xf>
    <xf numFmtId="0" fontId="1" fillId="0" borderId="0" xfId="1" applyFont="1" applyAlignment="1" applyProtection="1">
      <alignment vertical="top"/>
      <protection hidden="1"/>
    </xf>
    <xf numFmtId="0" fontId="6" fillId="0" borderId="13" xfId="1" applyFont="1" applyBorder="1" applyAlignment="1" applyProtection="1">
      <alignment vertical="top"/>
      <protection hidden="1"/>
    </xf>
    <xf numFmtId="0" fontId="6" fillId="0" borderId="0" xfId="1" applyFont="1" applyAlignment="1" applyProtection="1">
      <alignment vertical="top"/>
      <protection hidden="1"/>
    </xf>
    <xf numFmtId="0" fontId="1" fillId="0" borderId="0" xfId="1" applyFont="1" applyAlignment="1" applyProtection="1">
      <alignment vertical="top"/>
      <protection locked="0" hidden="1"/>
    </xf>
    <xf numFmtId="0" fontId="1" fillId="0" borderId="14" xfId="1" applyFont="1" applyBorder="1" applyAlignment="1" applyProtection="1">
      <alignment vertical="top" wrapText="1"/>
      <protection hidden="1"/>
    </xf>
    <xf numFmtId="0" fontId="1" fillId="0" borderId="14" xfId="1" applyFont="1" applyBorder="1" applyAlignment="1" applyProtection="1">
      <alignment vertical="top"/>
      <protection hidden="1"/>
    </xf>
    <xf numFmtId="0" fontId="1" fillId="0" borderId="0" xfId="1" applyFont="1" applyAlignment="1" applyProtection="1">
      <alignment horizontal="left" vertical="top"/>
      <protection hidden="1"/>
    </xf>
    <xf numFmtId="164" fontId="1" fillId="4" borderId="14" xfId="1" applyNumberFormat="1" applyFont="1" applyFill="1" applyBorder="1" applyAlignment="1" applyProtection="1">
      <alignment horizontal="center" vertical="top"/>
      <protection hidden="1"/>
    </xf>
    <xf numFmtId="164" fontId="1" fillId="0" borderId="0" xfId="1" applyNumberFormat="1" applyFont="1" applyFill="1" applyAlignment="1" applyProtection="1">
      <alignment horizontal="center" vertical="top"/>
      <protection hidden="1"/>
    </xf>
    <xf numFmtId="0" fontId="1" fillId="0" borderId="0" xfId="1" applyFont="1" applyAlignment="1" applyProtection="1">
      <alignment horizontal="center" vertical="top"/>
      <protection hidden="1"/>
    </xf>
    <xf numFmtId="164" fontId="1" fillId="6" borderId="14" xfId="1" applyNumberFormat="1" applyFont="1" applyFill="1" applyBorder="1" applyAlignment="1" applyProtection="1">
      <alignment horizontal="center" vertical="top"/>
      <protection hidden="1"/>
    </xf>
    <xf numFmtId="0" fontId="1" fillId="0" borderId="0" xfId="1" applyFont="1" applyFill="1" applyAlignment="1" applyProtection="1">
      <alignment horizontal="left" vertical="top"/>
      <protection hidden="1"/>
    </xf>
    <xf numFmtId="0" fontId="1" fillId="0" borderId="6" xfId="1" applyFont="1" applyBorder="1" applyAlignment="1" applyProtection="1">
      <alignment vertical="top"/>
      <protection hidden="1"/>
    </xf>
    <xf numFmtId="0" fontId="1" fillId="0" borderId="0" xfId="1" applyFont="1" applyFill="1" applyAlignment="1" applyProtection="1">
      <alignment horizontal="center" vertical="top"/>
      <protection hidden="1"/>
    </xf>
    <xf numFmtId="0" fontId="1" fillId="0" borderId="0" xfId="1" applyFont="1" applyFill="1" applyBorder="1" applyAlignment="1" applyProtection="1">
      <alignment horizontal="left" vertical="top"/>
      <protection hidden="1"/>
    </xf>
    <xf numFmtId="0" fontId="4" fillId="0" borderId="0" xfId="1" applyFont="1" applyAlignment="1" applyProtection="1">
      <alignment horizontal="left" vertical="top"/>
      <protection hidden="1"/>
    </xf>
    <xf numFmtId="0" fontId="1" fillId="0" borderId="0" xfId="1" applyFont="1" applyFill="1" applyAlignment="1" applyProtection="1">
      <alignment vertical="top"/>
      <protection hidden="1"/>
    </xf>
    <xf numFmtId="0" fontId="1" fillId="0" borderId="14" xfId="1" applyFont="1" applyFill="1" applyBorder="1" applyAlignment="1" applyProtection="1">
      <alignment horizontal="left" vertical="top"/>
      <protection hidden="1"/>
    </xf>
    <xf numFmtId="0" fontId="1" fillId="0" borderId="6" xfId="1" quotePrefix="1" applyFont="1" applyFill="1" applyBorder="1" applyAlignment="1" applyProtection="1">
      <alignment horizontal="left" vertical="top"/>
      <protection hidden="1"/>
    </xf>
    <xf numFmtId="164" fontId="1" fillId="4" borderId="6" xfId="1" applyNumberFormat="1" applyFont="1" applyFill="1" applyBorder="1" applyAlignment="1" applyProtection="1">
      <alignment horizontal="center" vertical="top"/>
      <protection hidden="1"/>
    </xf>
    <xf numFmtId="164" fontId="1" fillId="6" borderId="6" xfId="1" applyNumberFormat="1" applyFont="1" applyFill="1" applyBorder="1" applyAlignment="1" applyProtection="1">
      <alignment horizontal="center" vertical="top"/>
      <protection hidden="1"/>
    </xf>
    <xf numFmtId="0" fontId="1" fillId="0" borderId="0" xfId="1" applyFont="1" applyAlignment="1" applyProtection="1">
      <alignment horizontal="center" vertical="top"/>
    </xf>
    <xf numFmtId="2" fontId="1" fillId="0" borderId="0" xfId="1" applyNumberFormat="1" applyFont="1" applyAlignment="1" applyProtection="1">
      <alignment vertical="top"/>
      <protection hidden="1"/>
    </xf>
    <xf numFmtId="0" fontId="6" fillId="0" borderId="13" xfId="1" applyFont="1" applyBorder="1" applyAlignment="1" applyProtection="1">
      <alignment vertical="center"/>
      <protection hidden="1"/>
    </xf>
    <xf numFmtId="0" fontId="6" fillId="0" borderId="0" xfId="1" applyFont="1" applyAlignment="1" applyProtection="1">
      <alignment vertical="center"/>
      <protection hidden="1"/>
    </xf>
    <xf numFmtId="0" fontId="6" fillId="0" borderId="0" xfId="1" applyFont="1" applyAlignment="1" applyProtection="1">
      <alignment horizontal="left" vertical="center"/>
      <protection hidden="1"/>
    </xf>
    <xf numFmtId="164" fontId="6" fillId="4" borderId="13" xfId="1" applyNumberFormat="1" applyFont="1" applyFill="1" applyBorder="1" applyAlignment="1" applyProtection="1">
      <alignment horizontal="center" vertical="center" wrapText="1"/>
      <protection hidden="1"/>
    </xf>
    <xf numFmtId="164" fontId="6" fillId="0" borderId="0" xfId="1" applyNumberFormat="1" applyFont="1" applyFill="1" applyAlignment="1" applyProtection="1">
      <alignment horizontal="center" vertical="center" wrapText="1"/>
      <protection hidden="1"/>
    </xf>
    <xf numFmtId="164" fontId="6" fillId="6" borderId="13" xfId="1" applyNumberFormat="1" applyFont="1" applyFill="1" applyBorder="1" applyAlignment="1" applyProtection="1">
      <alignment horizontal="center" vertical="center" wrapText="1"/>
      <protection hidden="1"/>
    </xf>
    <xf numFmtId="0" fontId="12" fillId="5" borderId="13" xfId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Protection="1">
      <protection hidden="1"/>
    </xf>
    <xf numFmtId="0" fontId="1" fillId="0" borderId="0" xfId="1" applyFont="1" applyAlignment="1" applyProtection="1">
      <alignment horizontal="right" vertical="center"/>
      <protection hidden="1"/>
    </xf>
    <xf numFmtId="0" fontId="17" fillId="0" borderId="0" xfId="0" applyFont="1" applyBorder="1" applyAlignment="1" applyProtection="1">
      <alignment vertical="center"/>
      <protection locked="0" hidden="1"/>
    </xf>
    <xf numFmtId="0" fontId="2" fillId="0" borderId="0" xfId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horizontal="right" vertical="center"/>
      <protection hidden="1"/>
    </xf>
    <xf numFmtId="0" fontId="2" fillId="0" borderId="0" xfId="1" applyFont="1" applyAlignment="1" applyProtection="1">
      <alignment vertical="center"/>
      <protection hidden="1"/>
    </xf>
    <xf numFmtId="0" fontId="1" fillId="0" borderId="0" xfId="1" applyFont="1" applyBorder="1" applyAlignment="1" applyProtection="1">
      <alignment vertical="center"/>
      <protection hidden="1"/>
    </xf>
    <xf numFmtId="4" fontId="1" fillId="7" borderId="0" xfId="1" applyNumberFormat="1" applyFont="1" applyFill="1" applyAlignment="1" applyProtection="1">
      <alignment horizontal="right" vertical="center"/>
      <protection hidden="1"/>
    </xf>
    <xf numFmtId="0" fontId="17" fillId="0" borderId="4" xfId="0" applyFont="1" applyBorder="1" applyAlignment="1" applyProtection="1">
      <alignment horizontal="left" vertical="center" wrapText="1"/>
      <protection hidden="1"/>
    </xf>
    <xf numFmtId="0" fontId="11" fillId="4" borderId="4" xfId="0" applyFont="1" applyFill="1" applyBorder="1" applyAlignment="1" applyProtection="1">
      <alignment horizontal="left" vertical="center" wrapText="1"/>
      <protection hidden="1"/>
    </xf>
    <xf numFmtId="164" fontId="2" fillId="4" borderId="4" xfId="1" applyNumberFormat="1" applyFont="1" applyFill="1" applyBorder="1" applyAlignment="1" applyProtection="1">
      <alignment horizontal="center" vertical="center"/>
      <protection hidden="1"/>
    </xf>
    <xf numFmtId="164" fontId="2" fillId="4" borderId="3" xfId="1" applyNumberFormat="1" applyFont="1" applyFill="1" applyBorder="1" applyAlignment="1" applyProtection="1">
      <alignment horizontal="center" vertical="center"/>
      <protection hidden="1"/>
    </xf>
    <xf numFmtId="164" fontId="2" fillId="4" borderId="28" xfId="1" applyNumberFormat="1" applyFont="1" applyFill="1" applyBorder="1" applyAlignment="1" applyProtection="1">
      <alignment horizontal="center" vertical="center"/>
      <protection hidden="1"/>
    </xf>
    <xf numFmtId="0" fontId="2" fillId="0" borderId="7" xfId="1" applyFont="1" applyFill="1" applyBorder="1" applyAlignment="1" applyProtection="1">
      <alignment horizontal="center" vertical="center" wrapText="1"/>
      <protection locked="0" hidden="1"/>
    </xf>
    <xf numFmtId="0" fontId="2" fillId="0" borderId="6" xfId="1" applyFont="1" applyFill="1" applyBorder="1" applyAlignment="1" applyProtection="1">
      <alignment horizontal="center" vertical="center" wrapText="1"/>
      <protection locked="0" hidden="1"/>
    </xf>
    <xf numFmtId="165" fontId="2" fillId="0" borderId="6" xfId="1" applyNumberFormat="1" applyFont="1" applyFill="1" applyBorder="1" applyAlignment="1" applyProtection="1">
      <alignment horizontal="center" vertical="center" wrapText="1"/>
      <protection locked="0" hidden="1"/>
    </xf>
    <xf numFmtId="165" fontId="2" fillId="0" borderId="6" xfId="1" applyNumberFormat="1" applyFont="1" applyFill="1" applyBorder="1" applyAlignment="1" applyProtection="1">
      <alignment horizontal="center" vertical="center"/>
      <protection locked="0" hidden="1"/>
    </xf>
    <xf numFmtId="165" fontId="2" fillId="4" borderId="6" xfId="1" applyNumberFormat="1" applyFont="1" applyFill="1" applyBorder="1" applyAlignment="1" applyProtection="1">
      <alignment horizontal="center" vertical="center"/>
      <protection hidden="1"/>
    </xf>
    <xf numFmtId="164" fontId="2" fillId="4" borderId="2" xfId="0" applyNumberFormat="1" applyFont="1" applyFill="1" applyBorder="1" applyAlignment="1" applyProtection="1">
      <alignment horizontal="center" vertical="center"/>
      <protection hidden="1"/>
    </xf>
    <xf numFmtId="0" fontId="4" fillId="0" borderId="0" xfId="1" applyFont="1" applyBorder="1" applyAlignment="1" applyProtection="1">
      <alignment vertical="center"/>
      <protection hidden="1"/>
    </xf>
    <xf numFmtId="0" fontId="16" fillId="0" borderId="0" xfId="0" applyFont="1" applyBorder="1" applyAlignment="1" applyProtection="1">
      <alignment vertical="center"/>
      <protection hidden="1"/>
    </xf>
    <xf numFmtId="164" fontId="3" fillId="0" borderId="0" xfId="1" applyNumberFormat="1" applyFont="1" applyBorder="1" applyAlignment="1" applyProtection="1">
      <alignment horizontal="center" vertical="center"/>
      <protection hidden="1"/>
    </xf>
    <xf numFmtId="4" fontId="1" fillId="0" borderId="0" xfId="1" applyNumberFormat="1" applyFont="1" applyAlignment="1" applyProtection="1">
      <alignment vertical="center"/>
      <protection hidden="1"/>
    </xf>
    <xf numFmtId="0" fontId="13" fillId="3" borderId="4" xfId="1" applyFont="1" applyFill="1" applyBorder="1" applyAlignment="1" applyProtection="1">
      <alignment vertical="center"/>
      <protection hidden="1"/>
    </xf>
    <xf numFmtId="0" fontId="7" fillId="0" borderId="0" xfId="1" applyFont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7" fillId="0" borderId="0" xfId="1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" fillId="0" borderId="0" xfId="1" applyFont="1" applyBorder="1" applyAlignment="1" applyProtection="1">
      <alignment horizontal="center" vertical="center"/>
      <protection hidden="1"/>
    </xf>
    <xf numFmtId="0" fontId="5" fillId="0" borderId="0" xfId="1" applyFont="1" applyBorder="1" applyAlignment="1" applyProtection="1">
      <alignment vertical="center"/>
      <protection hidden="1"/>
    </xf>
    <xf numFmtId="4" fontId="6" fillId="7" borderId="0" xfId="1" applyNumberFormat="1" applyFont="1" applyFill="1" applyAlignment="1" applyProtection="1">
      <alignment horizontal="right" vertical="center"/>
      <protection hidden="1"/>
    </xf>
    <xf numFmtId="4" fontId="1" fillId="7" borderId="0" xfId="1" applyNumberFormat="1" applyFont="1" applyFill="1" applyAlignment="1" applyProtection="1">
      <alignment vertical="center"/>
      <protection hidden="1"/>
    </xf>
    <xf numFmtId="0" fontId="13" fillId="3" borderId="21" xfId="1" applyFont="1" applyFill="1" applyBorder="1" applyAlignment="1" applyProtection="1">
      <alignment vertical="center"/>
      <protection hidden="1"/>
    </xf>
    <xf numFmtId="0" fontId="23" fillId="0" borderId="0" xfId="1" applyFont="1" applyAlignment="1" applyProtection="1">
      <alignment vertical="center"/>
      <protection hidden="1"/>
    </xf>
    <xf numFmtId="0" fontId="9" fillId="0" borderId="0" xfId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left" vertical="center"/>
      <protection hidden="1"/>
    </xf>
    <xf numFmtId="0" fontId="8" fillId="0" borderId="0" xfId="0" applyFont="1" applyBorder="1" applyAlignment="1" applyProtection="1">
      <alignment vertical="center"/>
      <protection locked="0" hidden="1"/>
    </xf>
    <xf numFmtId="0" fontId="8" fillId="0" borderId="0" xfId="0" applyFont="1" applyBorder="1" applyAlignment="1" applyProtection="1">
      <alignment horizontal="left" vertical="center"/>
      <protection locked="0" hidden="1"/>
    </xf>
    <xf numFmtId="0" fontId="0" fillId="0" borderId="0" xfId="0" applyAlignment="1" applyProtection="1">
      <alignment vertical="center"/>
      <protection hidden="1"/>
    </xf>
    <xf numFmtId="0" fontId="1" fillId="0" borderId="0" xfId="1" applyAlignment="1" applyProtection="1">
      <alignment vertical="center"/>
      <protection hidden="1"/>
    </xf>
    <xf numFmtId="165" fontId="24" fillId="8" borderId="18" xfId="1" applyNumberFormat="1" applyFont="1" applyFill="1" applyBorder="1" applyAlignment="1" applyProtection="1">
      <alignment vertical="center"/>
      <protection hidden="1"/>
    </xf>
    <xf numFmtId="165" fontId="24" fillId="8" borderId="19" xfId="1" applyNumberFormat="1" applyFont="1" applyFill="1" applyBorder="1" applyAlignment="1" applyProtection="1">
      <alignment vertical="center"/>
      <protection hidden="1"/>
    </xf>
    <xf numFmtId="165" fontId="24" fillId="8" borderId="3" xfId="1" applyNumberFormat="1" applyFont="1" applyFill="1" applyBorder="1" applyAlignment="1" applyProtection="1">
      <alignment vertical="center"/>
      <protection hidden="1"/>
    </xf>
    <xf numFmtId="165" fontId="24" fillId="8" borderId="2" xfId="1" applyNumberFormat="1" applyFont="1" applyFill="1" applyBorder="1" applyAlignment="1" applyProtection="1">
      <alignment vertical="center"/>
      <protection hidden="1"/>
    </xf>
    <xf numFmtId="165" fontId="24" fillId="8" borderId="38" xfId="1" applyNumberFormat="1" applyFont="1" applyFill="1" applyBorder="1" applyAlignment="1" applyProtection="1">
      <alignment vertical="center"/>
      <protection hidden="1"/>
    </xf>
    <xf numFmtId="165" fontId="24" fillId="8" borderId="39" xfId="1" applyNumberFormat="1" applyFont="1" applyFill="1" applyBorder="1" applyAlignment="1" applyProtection="1">
      <alignment vertical="center"/>
      <protection hidden="1"/>
    </xf>
    <xf numFmtId="165" fontId="24" fillId="8" borderId="36" xfId="1" applyNumberFormat="1" applyFont="1" applyFill="1" applyBorder="1" applyAlignment="1" applyProtection="1">
      <alignment vertical="center"/>
      <protection hidden="1"/>
    </xf>
    <xf numFmtId="165" fontId="24" fillId="8" borderId="37" xfId="1" applyNumberFormat="1" applyFont="1" applyFill="1" applyBorder="1" applyAlignment="1" applyProtection="1">
      <alignment vertical="center"/>
      <protection hidden="1"/>
    </xf>
    <xf numFmtId="0" fontId="2" fillId="0" borderId="21" xfId="1" applyFont="1" applyFill="1" applyBorder="1" applyAlignment="1" applyProtection="1">
      <alignment horizontal="center" vertical="center"/>
      <protection locked="0" hidden="1"/>
    </xf>
    <xf numFmtId="164" fontId="2" fillId="4" borderId="4" xfId="1" applyNumberFormat="1" applyFont="1" applyFill="1" applyBorder="1" applyAlignment="1" applyProtection="1">
      <alignment horizontal="center" vertical="center"/>
      <protection hidden="1"/>
    </xf>
    <xf numFmtId="0" fontId="24" fillId="7" borderId="41" xfId="1" applyFont="1" applyFill="1" applyBorder="1" applyAlignment="1" applyProtection="1">
      <alignment vertical="center"/>
      <protection locked="0" hidden="1"/>
    </xf>
    <xf numFmtId="0" fontId="25" fillId="7" borderId="42" xfId="0" applyFont="1" applyFill="1" applyBorder="1" applyAlignment="1" applyProtection="1">
      <alignment vertical="center"/>
      <protection locked="0" hidden="1"/>
    </xf>
    <xf numFmtId="0" fontId="25" fillId="7" borderId="43" xfId="0" applyFont="1" applyFill="1" applyBorder="1" applyAlignment="1" applyProtection="1">
      <alignment vertical="center"/>
      <protection locked="0"/>
    </xf>
    <xf numFmtId="0" fontId="25" fillId="7" borderId="44" xfId="0" applyFont="1" applyFill="1" applyBorder="1" applyAlignment="1" applyProtection="1">
      <alignment vertical="center"/>
      <protection locked="0" hidden="1"/>
    </xf>
    <xf numFmtId="0" fontId="25" fillId="7" borderId="0" xfId="0" applyFont="1" applyFill="1" applyBorder="1" applyAlignment="1" applyProtection="1">
      <alignment vertical="center"/>
      <protection locked="0" hidden="1"/>
    </xf>
    <xf numFmtId="0" fontId="25" fillId="7" borderId="45" xfId="0" applyFont="1" applyFill="1" applyBorder="1" applyAlignment="1" applyProtection="1">
      <alignment vertical="center"/>
      <protection locked="0"/>
    </xf>
    <xf numFmtId="0" fontId="25" fillId="7" borderId="37" xfId="0" applyFont="1" applyFill="1" applyBorder="1" applyAlignment="1" applyProtection="1">
      <alignment vertical="center"/>
      <protection locked="0" hidden="1"/>
    </xf>
    <xf numFmtId="0" fontId="25" fillId="7" borderId="46" xfId="0" applyFont="1" applyFill="1" applyBorder="1" applyAlignment="1" applyProtection="1">
      <alignment vertical="center"/>
      <protection locked="0" hidden="1"/>
    </xf>
    <xf numFmtId="0" fontId="3" fillId="0" borderId="0" xfId="1" applyFont="1" applyBorder="1" applyAlignment="1" applyProtection="1">
      <alignment vertical="center"/>
      <protection hidden="1"/>
    </xf>
    <xf numFmtId="0" fontId="3" fillId="0" borderId="0" xfId="1" applyFont="1" applyBorder="1" applyAlignment="1" applyProtection="1">
      <alignment horizontal="left" vertical="center"/>
      <protection hidden="1"/>
    </xf>
    <xf numFmtId="0" fontId="17" fillId="0" borderId="11" xfId="0" applyFont="1" applyBorder="1" applyAlignment="1" applyProtection="1">
      <alignment horizontal="left" vertical="center"/>
      <protection hidden="1"/>
    </xf>
    <xf numFmtId="0" fontId="1" fillId="0" borderId="48" xfId="1" applyFont="1" applyBorder="1" applyAlignment="1" applyProtection="1">
      <alignment vertical="top"/>
      <protection hidden="1"/>
    </xf>
    <xf numFmtId="164" fontId="1" fillId="4" borderId="13" xfId="1" applyNumberFormat="1" applyFont="1" applyFill="1" applyBorder="1" applyAlignment="1" applyProtection="1">
      <alignment horizontal="center" vertical="top"/>
      <protection hidden="1"/>
    </xf>
    <xf numFmtId="164" fontId="1" fillId="0" borderId="5" xfId="1" applyNumberFormat="1" applyFont="1" applyFill="1" applyBorder="1" applyAlignment="1" applyProtection="1">
      <alignment horizontal="center" vertical="top"/>
      <protection hidden="1"/>
    </xf>
    <xf numFmtId="0" fontId="1" fillId="0" borderId="5" xfId="1" applyFont="1" applyBorder="1" applyAlignment="1" applyProtection="1">
      <alignment horizontal="center" vertical="top"/>
      <protection hidden="1"/>
    </xf>
    <xf numFmtId="164" fontId="1" fillId="6" borderId="13" xfId="1" applyNumberFormat="1" applyFont="1" applyFill="1" applyBorder="1" applyAlignment="1" applyProtection="1">
      <alignment horizontal="center" vertical="top"/>
      <protection hidden="1"/>
    </xf>
    <xf numFmtId="0" fontId="1" fillId="0" borderId="49" xfId="1" applyFont="1" applyBorder="1" applyAlignment="1" applyProtection="1">
      <alignment vertical="top"/>
      <protection hidden="1"/>
    </xf>
    <xf numFmtId="164" fontId="1" fillId="0" borderId="0" xfId="1" applyNumberFormat="1" applyFont="1" applyFill="1" applyBorder="1" applyAlignment="1" applyProtection="1">
      <alignment horizontal="center" vertical="top"/>
      <protection hidden="1"/>
    </xf>
    <xf numFmtId="0" fontId="1" fillId="0" borderId="0" xfId="1" applyFont="1" applyBorder="1" applyAlignment="1" applyProtection="1">
      <alignment horizontal="center" vertical="top"/>
      <protection hidden="1"/>
    </xf>
    <xf numFmtId="0" fontId="1" fillId="0" borderId="50" xfId="1" applyFont="1" applyBorder="1" applyAlignment="1" applyProtection="1">
      <alignment vertical="top"/>
      <protection hidden="1"/>
    </xf>
    <xf numFmtId="164" fontId="1" fillId="0" borderId="51" xfId="1" applyNumberFormat="1" applyFont="1" applyFill="1" applyBorder="1" applyAlignment="1" applyProtection="1">
      <alignment horizontal="center" vertical="top"/>
      <protection hidden="1"/>
    </xf>
    <xf numFmtId="0" fontId="1" fillId="0" borderId="51" xfId="1" applyFont="1" applyBorder="1" applyAlignment="1" applyProtection="1">
      <alignment horizontal="center" vertical="top"/>
      <protection hidden="1"/>
    </xf>
    <xf numFmtId="165" fontId="24" fillId="8" borderId="18" xfId="1" applyNumberFormat="1" applyFont="1" applyFill="1" applyBorder="1" applyAlignment="1" applyProtection="1">
      <alignment vertical="center"/>
      <protection locked="0" hidden="1"/>
    </xf>
    <xf numFmtId="165" fontId="24" fillId="8" borderId="19" xfId="1" applyNumberFormat="1" applyFont="1" applyFill="1" applyBorder="1" applyAlignment="1" applyProtection="1">
      <alignment vertical="center"/>
      <protection locked="0" hidden="1"/>
    </xf>
    <xf numFmtId="165" fontId="24" fillId="8" borderId="3" xfId="1" applyNumberFormat="1" applyFont="1" applyFill="1" applyBorder="1" applyAlignment="1" applyProtection="1">
      <alignment vertical="center"/>
      <protection locked="0" hidden="1"/>
    </xf>
    <xf numFmtId="165" fontId="24" fillId="8" borderId="2" xfId="1" applyNumberFormat="1" applyFont="1" applyFill="1" applyBorder="1" applyAlignment="1" applyProtection="1">
      <alignment vertical="center"/>
      <protection locked="0" hidden="1"/>
    </xf>
    <xf numFmtId="165" fontId="24" fillId="8" borderId="25" xfId="1" applyNumberFormat="1" applyFont="1" applyFill="1" applyBorder="1" applyAlignment="1" applyProtection="1">
      <alignment vertical="center"/>
      <protection locked="0" hidden="1"/>
    </xf>
    <xf numFmtId="165" fontId="24" fillId="8" borderId="26" xfId="1" applyNumberFormat="1" applyFont="1" applyFill="1" applyBorder="1" applyAlignment="1" applyProtection="1">
      <alignment vertical="center"/>
      <protection locked="0" hidden="1"/>
    </xf>
    <xf numFmtId="0" fontId="27" fillId="0" borderId="0" xfId="1" applyFont="1" applyAlignment="1" applyProtection="1">
      <alignment horizontal="center" vertical="top"/>
      <protection hidden="1"/>
    </xf>
    <xf numFmtId="0" fontId="27" fillId="0" borderId="0" xfId="1" applyFont="1" applyAlignment="1" applyProtection="1">
      <alignment horizontal="center" vertical="top"/>
      <protection locked="0" hidden="1"/>
    </xf>
    <xf numFmtId="0" fontId="13" fillId="3" borderId="0" xfId="1" applyFont="1" applyFill="1" applyBorder="1" applyAlignment="1" applyProtection="1">
      <alignment vertical="center"/>
      <protection hidden="1"/>
    </xf>
    <xf numFmtId="0" fontId="1" fillId="0" borderId="0" xfId="1" applyFont="1" applyFill="1" applyAlignment="1" applyProtection="1">
      <alignment vertical="center"/>
      <protection hidden="1"/>
    </xf>
    <xf numFmtId="0" fontId="2" fillId="0" borderId="0" xfId="1" applyFont="1" applyFill="1" applyBorder="1" applyAlignment="1" applyProtection="1">
      <alignment vertical="center"/>
      <protection hidden="1"/>
    </xf>
    <xf numFmtId="9" fontId="20" fillId="0" borderId="0" xfId="1" applyNumberFormat="1" applyFont="1" applyFill="1" applyAlignment="1" applyProtection="1">
      <alignment horizontal="center" vertical="center"/>
      <protection hidden="1"/>
    </xf>
    <xf numFmtId="4" fontId="5" fillId="0" borderId="0" xfId="1" applyNumberFormat="1" applyFont="1" applyFill="1" applyBorder="1" applyAlignment="1" applyProtection="1">
      <alignment horizontal="center" vertical="center" wrapText="1"/>
      <protection hidden="1"/>
    </xf>
    <xf numFmtId="164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4" fillId="0" borderId="0" xfId="1" applyNumberFormat="1" applyFont="1" applyFill="1" applyBorder="1" applyAlignment="1" applyProtection="1">
      <alignment horizontal="center" vertical="center"/>
      <protection hidden="1"/>
    </xf>
    <xf numFmtId="164" fontId="24" fillId="0" borderId="0" xfId="1" applyNumberFormat="1" applyFont="1" applyFill="1" applyBorder="1" applyAlignment="1" applyProtection="1">
      <alignment horizontal="center" vertical="center"/>
      <protection hidden="1"/>
    </xf>
    <xf numFmtId="4" fontId="1" fillId="0" borderId="0" xfId="1" applyNumberFormat="1" applyFont="1" applyFill="1" applyAlignment="1" applyProtection="1">
      <alignment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locked="0" hidden="1"/>
    </xf>
    <xf numFmtId="164" fontId="2" fillId="4" borderId="4" xfId="0" applyNumberFormat="1" applyFont="1" applyFill="1" applyBorder="1" applyAlignment="1" applyProtection="1">
      <alignment horizontal="center" vertical="center"/>
      <protection hidden="1"/>
    </xf>
    <xf numFmtId="164" fontId="2" fillId="0" borderId="4" xfId="0" applyNumberFormat="1" applyFont="1" applyFill="1" applyBorder="1" applyAlignment="1" applyProtection="1">
      <alignment horizontal="center" vertical="center"/>
      <protection hidden="1"/>
    </xf>
    <xf numFmtId="164" fontId="2" fillId="0" borderId="4" xfId="1" applyNumberFormat="1" applyFont="1" applyFill="1" applyBorder="1" applyAlignment="1" applyProtection="1">
      <alignment horizontal="center" vertical="center"/>
      <protection hidden="1"/>
    </xf>
    <xf numFmtId="0" fontId="5" fillId="0" borderId="16" xfId="1" applyFont="1" applyBorder="1" applyAlignment="1" applyProtection="1">
      <alignment horizontal="center" vertical="center" wrapText="1"/>
      <protection hidden="1"/>
    </xf>
    <xf numFmtId="4" fontId="5" fillId="4" borderId="20" xfId="1" applyNumberFormat="1" applyFont="1" applyFill="1" applyBorder="1" applyAlignment="1" applyProtection="1">
      <alignment horizontal="center" vertical="center" wrapText="1"/>
      <protection hidden="1"/>
    </xf>
    <xf numFmtId="164" fontId="2" fillId="4" borderId="21" xfId="1" applyNumberFormat="1" applyFont="1" applyFill="1" applyBorder="1" applyAlignment="1" applyProtection="1">
      <alignment horizontal="center" vertical="center"/>
      <protection hidden="1"/>
    </xf>
    <xf numFmtId="164" fontId="2" fillId="4" borderId="22" xfId="1" applyNumberFormat="1" applyFont="1" applyFill="1" applyBorder="1" applyAlignment="1" applyProtection="1">
      <alignment horizontal="center" vertical="center"/>
      <protection hidden="1"/>
    </xf>
    <xf numFmtId="164" fontId="2" fillId="4" borderId="21" xfId="0" applyNumberFormat="1" applyFont="1" applyFill="1" applyBorder="1" applyAlignment="1" applyProtection="1">
      <alignment horizontal="center" vertical="center"/>
      <protection hidden="1"/>
    </xf>
    <xf numFmtId="0" fontId="19" fillId="0" borderId="8" xfId="0" applyFont="1" applyBorder="1" applyAlignment="1" applyProtection="1">
      <alignment horizontal="center" vertical="center"/>
      <protection hidden="1"/>
    </xf>
    <xf numFmtId="0" fontId="13" fillId="3" borderId="22" xfId="1" applyFont="1" applyFill="1" applyBorder="1" applyAlignment="1" applyProtection="1">
      <alignment vertical="center"/>
      <protection hidden="1"/>
    </xf>
    <xf numFmtId="9" fontId="28" fillId="9" borderId="0" xfId="4" applyFont="1" applyFill="1" applyAlignment="1" applyProtection="1">
      <alignment horizontal="center" vertical="center"/>
      <protection hidden="1"/>
    </xf>
    <xf numFmtId="4" fontId="28" fillId="9" borderId="0" xfId="1" applyNumberFormat="1" applyFont="1" applyFill="1" applyAlignment="1" applyProtection="1">
      <alignment horizontal="center" vertical="center"/>
      <protection hidden="1"/>
    </xf>
    <xf numFmtId="164" fontId="29" fillId="9" borderId="0" xfId="1" applyNumberFormat="1" applyFont="1" applyFill="1" applyAlignment="1" applyProtection="1">
      <alignment horizontal="center" vertical="center"/>
      <protection hidden="1"/>
    </xf>
    <xf numFmtId="167" fontId="29" fillId="9" borderId="0" xfId="3" applyNumberFormat="1" applyFont="1" applyFill="1" applyAlignment="1" applyProtection="1">
      <alignment horizontal="right" vertical="center"/>
      <protection hidden="1"/>
    </xf>
    <xf numFmtId="0" fontId="29" fillId="9" borderId="0" xfId="1" applyFont="1" applyFill="1" applyAlignment="1" applyProtection="1">
      <alignment horizontal="right" vertical="center"/>
      <protection hidden="1"/>
    </xf>
    <xf numFmtId="164" fontId="30" fillId="9" borderId="0" xfId="1" applyNumberFormat="1" applyFont="1" applyFill="1" applyAlignment="1" applyProtection="1">
      <alignment horizontal="center" vertical="center"/>
      <protection hidden="1"/>
    </xf>
    <xf numFmtId="164" fontId="30" fillId="9" borderId="0" xfId="1" applyNumberFormat="1" applyFont="1" applyFill="1" applyAlignment="1" applyProtection="1">
      <alignment horizontal="right" vertical="center"/>
      <protection hidden="1"/>
    </xf>
    <xf numFmtId="4" fontId="31" fillId="9" borderId="0" xfId="1" applyNumberFormat="1" applyFont="1" applyFill="1" applyAlignment="1" applyProtection="1">
      <alignment vertical="center"/>
      <protection hidden="1"/>
    </xf>
    <xf numFmtId="4" fontId="31" fillId="9" borderId="0" xfId="1" applyNumberFormat="1" applyFont="1" applyFill="1" applyAlignment="1" applyProtection="1">
      <alignment horizontal="right" vertical="center"/>
      <protection hidden="1"/>
    </xf>
    <xf numFmtId="4" fontId="30" fillId="9" borderId="0" xfId="1" applyNumberFormat="1" applyFont="1" applyFill="1" applyAlignment="1" applyProtection="1">
      <alignment vertical="center"/>
      <protection hidden="1"/>
    </xf>
    <xf numFmtId="4" fontId="30" fillId="9" borderId="0" xfId="1" applyNumberFormat="1" applyFont="1" applyFill="1" applyAlignment="1" applyProtection="1">
      <alignment horizontal="right" vertical="center"/>
      <protection hidden="1"/>
    </xf>
    <xf numFmtId="0" fontId="30" fillId="9" borderId="0" xfId="1" applyFont="1" applyFill="1" applyAlignment="1" applyProtection="1">
      <alignment horizontal="right" vertical="center"/>
      <protection hidden="1"/>
    </xf>
    <xf numFmtId="9" fontId="1" fillId="2" borderId="6" xfId="1" applyNumberFormat="1" applyFont="1" applyFill="1" applyBorder="1" applyAlignment="1" applyProtection="1">
      <alignment horizontal="center" vertical="top"/>
      <protection locked="0"/>
    </xf>
    <xf numFmtId="0" fontId="32" fillId="0" borderId="0" xfId="1" applyNumberFormat="1" applyFont="1" applyAlignment="1" applyProtection="1">
      <alignment horizontal="center" vertical="center"/>
      <protection hidden="1"/>
    </xf>
    <xf numFmtId="0" fontId="1" fillId="0" borderId="3" xfId="1" applyFont="1" applyBorder="1" applyAlignment="1" applyProtection="1">
      <alignment horizontal="center" vertical="top"/>
      <protection locked="0" hidden="1"/>
    </xf>
    <xf numFmtId="0" fontId="1" fillId="0" borderId="1" xfId="1" applyFont="1" applyBorder="1" applyAlignment="1" applyProtection="1">
      <alignment horizontal="center" vertical="top"/>
      <protection locked="0" hidden="1"/>
    </xf>
    <xf numFmtId="0" fontId="1" fillId="0" borderId="49" xfId="1" applyFont="1" applyBorder="1" applyAlignment="1" applyProtection="1">
      <alignment horizontal="center" vertical="top"/>
      <protection locked="0" hidden="1"/>
    </xf>
    <xf numFmtId="9" fontId="1" fillId="0" borderId="11" xfId="1" applyNumberFormat="1" applyFont="1" applyBorder="1" applyAlignment="1" applyProtection="1">
      <alignment horizontal="center" vertical="top"/>
      <protection locked="0" hidden="1"/>
    </xf>
    <xf numFmtId="0" fontId="1" fillId="0" borderId="50" xfId="1" applyFont="1" applyBorder="1" applyAlignment="1" applyProtection="1">
      <alignment horizontal="center" vertical="top"/>
      <protection locked="0" hidden="1"/>
    </xf>
    <xf numFmtId="9" fontId="1" fillId="0" borderId="55" xfId="1" applyNumberFormat="1" applyFont="1" applyBorder="1" applyAlignment="1" applyProtection="1">
      <alignment horizontal="center" vertical="top"/>
      <protection locked="0" hidden="1"/>
    </xf>
    <xf numFmtId="0" fontId="0" fillId="9" borderId="0" xfId="0" applyFill="1"/>
    <xf numFmtId="0" fontId="0" fillId="6" borderId="0" xfId="0" applyFill="1"/>
    <xf numFmtId="0" fontId="0" fillId="8" borderId="0" xfId="0" applyFill="1"/>
    <xf numFmtId="44" fontId="0" fillId="0" borderId="0" xfId="5" applyFont="1"/>
    <xf numFmtId="0" fontId="0" fillId="0" borderId="0" xfId="0" pivotButton="1"/>
    <xf numFmtId="0" fontId="0" fillId="0" borderId="0" xfId="0" applyAlignment="1">
      <alignment horizontal="left"/>
    </xf>
    <xf numFmtId="39" fontId="0" fillId="0" borderId="0" xfId="0" applyNumberFormat="1"/>
    <xf numFmtId="7" fontId="0" fillId="0" borderId="0" xfId="0" applyNumberFormat="1"/>
    <xf numFmtId="0" fontId="0" fillId="8" borderId="0" xfId="0" applyFill="1" applyAlignment="1">
      <alignment horizontal="left"/>
    </xf>
    <xf numFmtId="43" fontId="0" fillId="0" borderId="0" xfId="3" applyFont="1" applyAlignment="1">
      <alignment horizontal="left"/>
    </xf>
    <xf numFmtId="0" fontId="0" fillId="8" borderId="5" xfId="0" applyFill="1" applyBorder="1" applyAlignment="1">
      <alignment horizontal="left"/>
    </xf>
    <xf numFmtId="43" fontId="0" fillId="0" borderId="5" xfId="3" applyFont="1" applyBorder="1" applyAlignment="1">
      <alignment horizontal="left"/>
    </xf>
    <xf numFmtId="0" fontId="0" fillId="8" borderId="0" xfId="0" applyFill="1" applyBorder="1" applyAlignment="1">
      <alignment horizontal="left"/>
    </xf>
    <xf numFmtId="43" fontId="0" fillId="0" borderId="0" xfId="3" applyFont="1" applyBorder="1" applyAlignment="1">
      <alignment horizontal="left"/>
    </xf>
    <xf numFmtId="164" fontId="2" fillId="4" borderId="22" xfId="1" applyNumberFormat="1" applyFont="1" applyFill="1" applyBorder="1" applyAlignment="1" applyProtection="1">
      <alignment horizontal="center" vertical="center"/>
      <protection hidden="1"/>
    </xf>
    <xf numFmtId="43" fontId="18" fillId="0" borderId="0" xfId="3" applyFont="1" applyFill="1" applyProtection="1">
      <protection hidden="1"/>
    </xf>
    <xf numFmtId="9" fontId="12" fillId="0" borderId="0" xfId="1" applyNumberFormat="1" applyFont="1" applyFill="1" applyAlignment="1" applyProtection="1">
      <alignment horizontal="center" vertical="center"/>
      <protection hidden="1"/>
    </xf>
    <xf numFmtId="44" fontId="0" fillId="0" borderId="49" xfId="5" applyFont="1" applyBorder="1" applyAlignment="1">
      <alignment horizontal="left"/>
    </xf>
    <xf numFmtId="44" fontId="0" fillId="0" borderId="48" xfId="5" applyFont="1" applyBorder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/>
    <xf numFmtId="14" fontId="34" fillId="0" borderId="0" xfId="0" applyNumberFormat="1" applyFont="1" applyAlignment="1">
      <alignment horizontal="left"/>
    </xf>
    <xf numFmtId="14" fontId="34" fillId="0" borderId="51" xfId="0" applyNumberFormat="1" applyFont="1" applyBorder="1" applyAlignment="1">
      <alignment horizontal="center"/>
    </xf>
    <xf numFmtId="0" fontId="34" fillId="0" borderId="51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33" fillId="0" borderId="0" xfId="0" applyFont="1"/>
    <xf numFmtId="44" fontId="0" fillId="0" borderId="0" xfId="0" applyNumberFormat="1"/>
    <xf numFmtId="0" fontId="0" fillId="0" borderId="39" xfId="0" applyBorder="1"/>
    <xf numFmtId="0" fontId="0" fillId="0" borderId="39" xfId="0" applyBorder="1" applyAlignment="1">
      <alignment horizontal="left"/>
    </xf>
    <xf numFmtId="44" fontId="0" fillId="0" borderId="39" xfId="0" applyNumberFormat="1" applyBorder="1"/>
    <xf numFmtId="43" fontId="0" fillId="0" borderId="39" xfId="0" applyNumberFormat="1" applyBorder="1" applyAlignment="1">
      <alignment horizontal="left"/>
    </xf>
    <xf numFmtId="164" fontId="2" fillId="4" borderId="4" xfId="1" applyNumberFormat="1" applyFont="1" applyFill="1" applyBorder="1" applyAlignment="1" applyProtection="1">
      <alignment horizontal="center" vertical="center"/>
      <protection hidden="1"/>
    </xf>
    <xf numFmtId="0" fontId="12" fillId="0" borderId="5" xfId="1" quotePrefix="1" applyFont="1" applyBorder="1" applyAlignment="1" applyProtection="1">
      <alignment vertical="center"/>
      <protection hidden="1"/>
    </xf>
    <xf numFmtId="0" fontId="12" fillId="0" borderId="0" xfId="1" applyFont="1" applyBorder="1" applyAlignment="1" applyProtection="1">
      <alignment vertical="center"/>
      <protection hidden="1"/>
    </xf>
    <xf numFmtId="0" fontId="35" fillId="0" borderId="0" xfId="0" applyFont="1"/>
    <xf numFmtId="0" fontId="17" fillId="0" borderId="0" xfId="0" applyFont="1" applyBorder="1" applyAlignment="1" applyProtection="1">
      <alignment vertical="center"/>
      <protection hidden="1"/>
    </xf>
    <xf numFmtId="49" fontId="0" fillId="0" borderId="0" xfId="0" applyNumberFormat="1" applyAlignment="1">
      <alignment horizontal="left"/>
    </xf>
    <xf numFmtId="0" fontId="0" fillId="11" borderId="0" xfId="0" applyFill="1"/>
    <xf numFmtId="0" fontId="0" fillId="0" borderId="0" xfId="0" applyFill="1"/>
    <xf numFmtId="164" fontId="24" fillId="8" borderId="13" xfId="1" applyNumberFormat="1" applyFont="1" applyFill="1" applyBorder="1" applyAlignment="1" applyProtection="1">
      <alignment horizontal="left" vertical="center"/>
      <protection hidden="1"/>
    </xf>
    <xf numFmtId="0" fontId="26" fillId="8" borderId="13" xfId="0" applyFont="1" applyFill="1" applyBorder="1" applyAlignment="1" applyProtection="1">
      <alignment horizontal="left" vertical="center"/>
      <protection hidden="1"/>
    </xf>
    <xf numFmtId="44" fontId="0" fillId="0" borderId="0" xfId="5" applyFont="1" applyBorder="1" applyAlignment="1">
      <alignment horizontal="left"/>
    </xf>
    <xf numFmtId="44" fontId="0" fillId="12" borderId="0" xfId="0" applyNumberFormat="1" applyFill="1"/>
    <xf numFmtId="0" fontId="0" fillId="13" borderId="0" xfId="0" applyFill="1"/>
    <xf numFmtId="44" fontId="0" fillId="13" borderId="0" xfId="5" applyFont="1" applyFill="1"/>
    <xf numFmtId="0" fontId="36" fillId="12" borderId="0" xfId="0" applyFont="1" applyFill="1" applyAlignment="1">
      <alignment horizontal="left"/>
    </xf>
    <xf numFmtId="0" fontId="34" fillId="13" borderId="0" xfId="0" applyFont="1" applyFill="1" applyAlignment="1">
      <alignment horizontal="left"/>
    </xf>
    <xf numFmtId="43" fontId="0" fillId="12" borderId="0" xfId="3" applyFont="1" applyFill="1"/>
    <xf numFmtId="164" fontId="2" fillId="4" borderId="22" xfId="1" applyNumberFormat="1" applyFont="1" applyFill="1" applyBorder="1" applyAlignment="1" applyProtection="1">
      <alignment horizontal="center" vertical="center"/>
      <protection hidden="1"/>
    </xf>
    <xf numFmtId="164" fontId="2" fillId="4" borderId="4" xfId="1" applyNumberFormat="1" applyFont="1" applyFill="1" applyBorder="1" applyAlignment="1" applyProtection="1">
      <alignment horizontal="center" vertical="center"/>
      <protection hidden="1"/>
    </xf>
    <xf numFmtId="14" fontId="2" fillId="0" borderId="0" xfId="1" applyNumberFormat="1" applyFont="1" applyBorder="1" applyAlignment="1" applyProtection="1">
      <alignment vertical="center"/>
      <protection hidden="1"/>
    </xf>
    <xf numFmtId="164" fontId="2" fillId="4" borderId="4" xfId="1" applyNumberFormat="1" applyFont="1" applyFill="1" applyBorder="1" applyAlignment="1" applyProtection="1">
      <alignment horizontal="center" vertical="center"/>
      <protection hidden="1"/>
    </xf>
    <xf numFmtId="0" fontId="2" fillId="0" borderId="4" xfId="1" applyFont="1" applyFill="1" applyBorder="1" applyAlignment="1" applyProtection="1">
      <alignment horizontal="center" vertical="center"/>
      <protection locked="0" hidden="1"/>
    </xf>
    <xf numFmtId="0" fontId="17" fillId="0" borderId="4" xfId="0" applyFont="1" applyBorder="1" applyAlignment="1" applyProtection="1">
      <alignment horizontal="center" vertical="center"/>
      <protection locked="0" hidden="1"/>
    </xf>
    <xf numFmtId="164" fontId="2" fillId="4" borderId="4" xfId="1" applyNumberFormat="1" applyFont="1" applyFill="1" applyBorder="1" applyAlignment="1" applyProtection="1">
      <alignment horizontal="center" vertical="center"/>
      <protection hidden="1"/>
    </xf>
    <xf numFmtId="164" fontId="2" fillId="4" borderId="22" xfId="1" applyNumberFormat="1" applyFont="1" applyFill="1" applyBorder="1" applyAlignment="1" applyProtection="1">
      <alignment horizontal="center" vertical="center"/>
      <protection hidden="1"/>
    </xf>
    <xf numFmtId="164" fontId="24" fillId="2" borderId="40" xfId="1" applyNumberFormat="1" applyFont="1" applyFill="1" applyBorder="1" applyAlignment="1" applyProtection="1">
      <alignment horizontal="center" vertical="center"/>
      <protection locked="0" hidden="1"/>
    </xf>
    <xf numFmtId="0" fontId="26" fillId="2" borderId="35" xfId="0" applyFont="1" applyFill="1" applyBorder="1" applyAlignment="1" applyProtection="1">
      <alignment horizontal="center" vertical="center"/>
      <protection locked="0" hidden="1"/>
    </xf>
    <xf numFmtId="164" fontId="24" fillId="2" borderId="40" xfId="1" applyNumberFormat="1" applyFont="1" applyFill="1" applyBorder="1" applyAlignment="1" applyProtection="1">
      <alignment horizontal="left" vertical="center"/>
      <protection hidden="1"/>
    </xf>
    <xf numFmtId="0" fontId="26" fillId="2" borderId="40" xfId="0" applyFont="1" applyFill="1" applyBorder="1" applyAlignment="1" applyProtection="1">
      <alignment horizontal="left" vertical="center"/>
      <protection hidden="1"/>
    </xf>
    <xf numFmtId="164" fontId="24" fillId="8" borderId="3" xfId="1" applyNumberFormat="1" applyFont="1" applyFill="1" applyBorder="1" applyAlignment="1" applyProtection="1">
      <alignment horizontal="center" vertical="center"/>
      <protection hidden="1"/>
    </xf>
    <xf numFmtId="164" fontId="24" fillId="8" borderId="56" xfId="1" applyNumberFormat="1" applyFont="1" applyFill="1" applyBorder="1" applyAlignment="1" applyProtection="1">
      <alignment horizontal="center" vertical="center"/>
      <protection hidden="1"/>
    </xf>
    <xf numFmtId="14" fontId="25" fillId="7" borderId="37" xfId="0" applyNumberFormat="1" applyFont="1" applyFill="1" applyBorder="1" applyAlignment="1" applyProtection="1">
      <alignment horizontal="left" vertical="center"/>
      <protection locked="0" hidden="1"/>
    </xf>
    <xf numFmtId="14" fontId="25" fillId="7" borderId="47" xfId="0" applyNumberFormat="1" applyFont="1" applyFill="1" applyBorder="1" applyAlignment="1" applyProtection="1">
      <alignment horizontal="left" vertical="center"/>
      <protection locked="0" hidden="1"/>
    </xf>
    <xf numFmtId="164" fontId="24" fillId="8" borderId="30" xfId="1" applyNumberFormat="1" applyFont="1" applyFill="1" applyBorder="1" applyAlignment="1" applyProtection="1">
      <alignment horizontal="center" vertical="center"/>
      <protection hidden="1"/>
    </xf>
    <xf numFmtId="0" fontId="26" fillId="8" borderId="31" xfId="0" applyFont="1" applyFill="1" applyBorder="1" applyAlignment="1" applyProtection="1">
      <alignment horizontal="center" vertical="center"/>
      <protection hidden="1"/>
    </xf>
    <xf numFmtId="164" fontId="24" fillId="8" borderId="4" xfId="1" applyNumberFormat="1" applyFont="1" applyFill="1" applyBorder="1" applyAlignment="1" applyProtection="1">
      <alignment horizontal="left" vertical="center"/>
      <protection hidden="1"/>
    </xf>
    <xf numFmtId="0" fontId="26" fillId="8" borderId="4" xfId="0" applyFont="1" applyFill="1" applyBorder="1" applyAlignment="1" applyProtection="1">
      <alignment horizontal="left" vertical="center"/>
      <protection hidden="1"/>
    </xf>
    <xf numFmtId="164" fontId="24" fillId="8" borderId="4" xfId="1" applyNumberFormat="1" applyFont="1" applyFill="1" applyBorder="1" applyAlignment="1" applyProtection="1">
      <alignment horizontal="center" vertical="center"/>
      <protection hidden="1"/>
    </xf>
    <xf numFmtId="0" fontId="26" fillId="8" borderId="22" xfId="0" applyFont="1" applyFill="1" applyBorder="1" applyAlignment="1" applyProtection="1">
      <alignment horizontal="center" vertical="center"/>
      <protection hidden="1"/>
    </xf>
    <xf numFmtId="164" fontId="24" fillId="8" borderId="30" xfId="1" applyNumberFormat="1" applyFont="1" applyFill="1" applyBorder="1" applyAlignment="1" applyProtection="1">
      <alignment horizontal="left" vertical="center"/>
      <protection hidden="1"/>
    </xf>
    <xf numFmtId="0" fontId="26" fillId="8" borderId="30" xfId="0" applyFont="1" applyFill="1" applyBorder="1" applyAlignment="1" applyProtection="1">
      <alignment horizontal="left" vertical="center"/>
      <protection hidden="1"/>
    </xf>
    <xf numFmtId="0" fontId="5" fillId="0" borderId="0" xfId="1" applyFont="1" applyBorder="1" applyAlignment="1" applyProtection="1">
      <alignment horizontal="left"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24" fillId="8" borderId="4" xfId="1" applyNumberFormat="1" applyFont="1" applyFill="1" applyBorder="1" applyAlignment="1" applyProtection="1">
      <alignment horizontal="center" vertical="center"/>
      <protection hidden="1"/>
    </xf>
    <xf numFmtId="0" fontId="24" fillId="8" borderId="22" xfId="1" applyNumberFormat="1" applyFont="1" applyFill="1" applyBorder="1" applyAlignment="1" applyProtection="1">
      <alignment horizontal="center" vertical="center"/>
      <protection hidden="1"/>
    </xf>
    <xf numFmtId="0" fontId="9" fillId="6" borderId="32" xfId="1" applyFont="1" applyFill="1" applyBorder="1" applyAlignment="1" applyProtection="1">
      <alignment horizontal="center" vertical="center"/>
      <protection hidden="1"/>
    </xf>
    <xf numFmtId="0" fontId="9" fillId="6" borderId="33" xfId="1" applyFont="1" applyFill="1" applyBorder="1" applyAlignment="1" applyProtection="1">
      <alignment horizontal="center" vertical="center"/>
      <protection hidden="1"/>
    </xf>
    <xf numFmtId="0" fontId="9" fillId="6" borderId="34" xfId="1" applyFont="1" applyFill="1" applyBorder="1" applyAlignment="1" applyProtection="1">
      <alignment horizontal="center" vertical="center"/>
      <protection hidden="1"/>
    </xf>
    <xf numFmtId="0" fontId="24" fillId="8" borderId="4" xfId="1" applyNumberFormat="1" applyFont="1" applyFill="1" applyBorder="1" applyAlignment="1" applyProtection="1">
      <alignment horizontal="left" vertical="center"/>
      <protection hidden="1"/>
    </xf>
    <xf numFmtId="0" fontId="19" fillId="0" borderId="9" xfId="0" applyFont="1" applyBorder="1" applyAlignment="1" applyProtection="1">
      <alignment horizontal="center" vertical="center"/>
      <protection hidden="1"/>
    </xf>
    <xf numFmtId="0" fontId="16" fillId="0" borderId="9" xfId="0" applyFont="1" applyBorder="1" applyAlignment="1" applyProtection="1">
      <alignment horizontal="center" vertical="center"/>
      <protection hidden="1"/>
    </xf>
    <xf numFmtId="0" fontId="16" fillId="0" borderId="9" xfId="0" applyFont="1" applyBorder="1" applyAlignment="1">
      <alignment horizontal="center" vertical="center"/>
    </xf>
    <xf numFmtId="0" fontId="2" fillId="4" borderId="16" xfId="1" applyFont="1" applyFill="1" applyBorder="1" applyAlignment="1" applyProtection="1">
      <alignment horizontal="left" vertical="top"/>
      <protection locked="0"/>
    </xf>
    <xf numFmtId="0" fontId="16" fillId="4" borderId="17" xfId="0" applyFont="1" applyFill="1" applyBorder="1" applyAlignment="1" applyProtection="1">
      <alignment horizontal="left" vertical="top"/>
      <protection locked="0"/>
    </xf>
    <xf numFmtId="0" fontId="16" fillId="4" borderId="21" xfId="0" applyFont="1" applyFill="1" applyBorder="1" applyAlignment="1" applyProtection="1">
      <alignment horizontal="left" vertical="top"/>
      <protection locked="0"/>
    </xf>
    <xf numFmtId="0" fontId="16" fillId="4" borderId="4" xfId="0" applyFont="1" applyFill="1" applyBorder="1" applyAlignment="1" applyProtection="1">
      <alignment horizontal="left" vertical="top"/>
      <protection locked="0"/>
    </xf>
    <xf numFmtId="0" fontId="16" fillId="4" borderId="23" xfId="0" applyFont="1" applyFill="1" applyBorder="1" applyAlignment="1" applyProtection="1">
      <alignment horizontal="left" vertical="top"/>
      <protection locked="0"/>
    </xf>
    <xf numFmtId="0" fontId="16" fillId="4" borderId="24" xfId="0" applyFont="1" applyFill="1" applyBorder="1" applyAlignment="1" applyProtection="1">
      <alignment horizontal="left" vertical="top"/>
      <protection locked="0"/>
    </xf>
    <xf numFmtId="0" fontId="17" fillId="0" borderId="3" xfId="0" applyFont="1" applyBorder="1" applyAlignment="1" applyProtection="1">
      <alignment horizontal="center" vertical="center"/>
      <protection locked="0" hidden="1"/>
    </xf>
    <xf numFmtId="0" fontId="17" fillId="0" borderId="2" xfId="0" applyFont="1" applyBorder="1" applyAlignment="1" applyProtection="1">
      <alignment horizontal="center" vertical="center"/>
      <protection locked="0" hidden="1"/>
    </xf>
    <xf numFmtId="0" fontId="17" fillId="0" borderId="1" xfId="0" applyFont="1" applyBorder="1" applyAlignment="1" applyProtection="1">
      <alignment horizontal="center" vertical="center"/>
      <protection locked="0" hidden="1"/>
    </xf>
    <xf numFmtId="0" fontId="3" fillId="0" borderId="0" xfId="1" applyFont="1" applyBorder="1" applyAlignment="1" applyProtection="1">
      <alignment horizontal="left" vertical="center"/>
      <protection hidden="1"/>
    </xf>
    <xf numFmtId="0" fontId="17" fillId="0" borderId="0" xfId="0" applyFont="1" applyBorder="1" applyAlignment="1" applyProtection="1">
      <alignment horizontal="left" vertical="center"/>
      <protection hidden="1"/>
    </xf>
    <xf numFmtId="0" fontId="17" fillId="0" borderId="0" xfId="0" applyFont="1" applyBorder="1" applyAlignment="1" applyProtection="1">
      <alignment vertical="center"/>
      <protection locked="0" hidden="1"/>
    </xf>
    <xf numFmtId="14" fontId="17" fillId="0" borderId="4" xfId="0" applyNumberFormat="1" applyFont="1" applyBorder="1" applyAlignment="1" applyProtection="1">
      <alignment horizontal="left" vertical="center"/>
      <protection locked="0" hidden="1"/>
    </xf>
    <xf numFmtId="0" fontId="17" fillId="0" borderId="4" xfId="0" applyFont="1" applyBorder="1" applyAlignment="1" applyProtection="1">
      <alignment horizontal="left" vertical="center"/>
      <protection locked="0" hidden="1"/>
    </xf>
    <xf numFmtId="166" fontId="17" fillId="0" borderId="4" xfId="0" applyNumberFormat="1" applyFont="1" applyBorder="1" applyAlignment="1" applyProtection="1">
      <alignment horizontal="left" vertical="center"/>
      <protection locked="0" hidden="1"/>
    </xf>
    <xf numFmtId="0" fontId="17" fillId="0" borderId="11" xfId="0" applyFont="1" applyBorder="1" applyAlignment="1" applyProtection="1">
      <alignment horizontal="left" vertical="center"/>
      <protection hidden="1"/>
    </xf>
    <xf numFmtId="0" fontId="1" fillId="0" borderId="0" xfId="1" applyFont="1" applyBorder="1" applyAlignment="1" applyProtection="1">
      <alignment vertical="center"/>
      <protection hidden="1"/>
    </xf>
    <xf numFmtId="0" fontId="24" fillId="8" borderId="17" xfId="1" applyNumberFormat="1" applyFont="1" applyFill="1" applyBorder="1" applyAlignment="1" applyProtection="1">
      <alignment horizontal="center" vertical="center"/>
      <protection hidden="1"/>
    </xf>
    <xf numFmtId="0" fontId="24" fillId="8" borderId="20" xfId="1" applyNumberFormat="1" applyFont="1" applyFill="1" applyBorder="1" applyAlignment="1" applyProtection="1">
      <alignment horizontal="center" vertical="center"/>
      <protection hidden="1"/>
    </xf>
    <xf numFmtId="164" fontId="24" fillId="8" borderId="22" xfId="1" applyNumberFormat="1" applyFont="1" applyFill="1" applyBorder="1" applyAlignment="1" applyProtection="1">
      <alignment horizontal="center" vertical="center"/>
      <protection hidden="1"/>
    </xf>
    <xf numFmtId="164" fontId="24" fillId="8" borderId="40" xfId="1" applyNumberFormat="1" applyFont="1" applyFill="1" applyBorder="1" applyAlignment="1" applyProtection="1">
      <alignment horizontal="center" vertical="center"/>
      <protection hidden="1"/>
    </xf>
    <xf numFmtId="164" fontId="24" fillId="8" borderId="35" xfId="1" applyNumberFormat="1" applyFont="1" applyFill="1" applyBorder="1" applyAlignment="1" applyProtection="1">
      <alignment horizontal="center" vertical="center"/>
      <protection hidden="1"/>
    </xf>
    <xf numFmtId="164" fontId="24" fillId="8" borderId="31" xfId="1" applyNumberFormat="1" applyFont="1" applyFill="1" applyBorder="1" applyAlignment="1" applyProtection="1">
      <alignment horizontal="center" vertical="center"/>
      <protection hidden="1"/>
    </xf>
    <xf numFmtId="164" fontId="2" fillId="4" borderId="6" xfId="1" applyNumberFormat="1" applyFont="1" applyFill="1" applyBorder="1" applyAlignment="1" applyProtection="1">
      <alignment horizontal="center" vertical="center"/>
      <protection hidden="1"/>
    </xf>
    <xf numFmtId="0" fontId="16" fillId="0" borderId="54" xfId="0" applyFont="1" applyBorder="1" applyAlignment="1" applyProtection="1">
      <alignment horizontal="center" vertical="center"/>
      <protection hidden="1"/>
    </xf>
    <xf numFmtId="164" fontId="2" fillId="4" borderId="52" xfId="1" applyNumberFormat="1" applyFont="1" applyFill="1" applyBorder="1" applyAlignment="1" applyProtection="1">
      <alignment horizontal="center" vertical="center"/>
      <protection hidden="1"/>
    </xf>
    <xf numFmtId="0" fontId="2" fillId="4" borderId="3" xfId="1" applyFont="1" applyFill="1" applyBorder="1" applyAlignment="1" applyProtection="1">
      <alignment horizontal="center" vertical="center"/>
      <protection locked="0" hidden="1"/>
    </xf>
    <xf numFmtId="0" fontId="2" fillId="4" borderId="2" xfId="1" applyFont="1" applyFill="1" applyBorder="1" applyAlignment="1" applyProtection="1">
      <alignment horizontal="center" vertical="center"/>
      <protection locked="0" hidden="1"/>
    </xf>
    <xf numFmtId="0" fontId="2" fillId="4" borderId="1" xfId="1" applyFont="1" applyFill="1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left" vertical="center"/>
      <protection hidden="1"/>
    </xf>
    <xf numFmtId="166" fontId="8" fillId="0" borderId="4" xfId="0" applyNumberFormat="1" applyFont="1" applyBorder="1" applyAlignment="1" applyProtection="1">
      <alignment horizontal="left" vertical="center"/>
      <protection locked="0" hidden="1"/>
    </xf>
    <xf numFmtId="0" fontId="8" fillId="0" borderId="4" xfId="0" applyFont="1" applyBorder="1" applyAlignment="1" applyProtection="1">
      <alignment horizontal="left" vertical="center"/>
      <protection locked="0" hidden="1"/>
    </xf>
    <xf numFmtId="0" fontId="9" fillId="0" borderId="0" xfId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14" fontId="8" fillId="0" borderId="4" xfId="0" applyNumberFormat="1" applyFont="1" applyBorder="1" applyAlignment="1" applyProtection="1">
      <alignment horizontal="left" vertical="center"/>
      <protection locked="0"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" fillId="0" borderId="0" xfId="1" applyBorder="1" applyAlignment="1" applyProtection="1">
      <alignment vertical="center"/>
      <protection hidden="1"/>
    </xf>
    <xf numFmtId="0" fontId="14" fillId="2" borderId="0" xfId="1" applyFont="1" applyFill="1" applyAlignment="1" applyProtection="1">
      <alignment horizontal="center" vertical="center"/>
      <protection hidden="1"/>
    </xf>
    <xf numFmtId="0" fontId="1" fillId="0" borderId="5" xfId="1" applyFont="1" applyBorder="1" applyAlignment="1" applyProtection="1">
      <alignment vertical="center"/>
      <protection hidden="1"/>
    </xf>
    <xf numFmtId="164" fontId="24" fillId="8" borderId="24" xfId="1" applyNumberFormat="1" applyFont="1" applyFill="1" applyBorder="1" applyAlignment="1" applyProtection="1">
      <alignment horizontal="center" vertical="center"/>
      <protection hidden="1"/>
    </xf>
    <xf numFmtId="164" fontId="24" fillId="8" borderId="27" xfId="1" applyNumberFormat="1" applyFont="1" applyFill="1" applyBorder="1" applyAlignment="1" applyProtection="1">
      <alignment horizontal="center" vertical="center"/>
      <protection hidden="1"/>
    </xf>
    <xf numFmtId="0" fontId="16" fillId="4" borderId="2" xfId="0" applyFont="1" applyFill="1" applyBorder="1" applyAlignment="1" applyProtection="1">
      <alignment horizontal="center" vertical="center"/>
      <protection locked="0" hidden="1"/>
    </xf>
    <xf numFmtId="0" fontId="16" fillId="4" borderId="1" xfId="0" applyFont="1" applyFill="1" applyBorder="1" applyAlignment="1" applyProtection="1">
      <alignment horizontal="center" vertical="center"/>
      <protection locked="0" hidden="1"/>
    </xf>
    <xf numFmtId="9" fontId="20" fillId="10" borderId="0" xfId="1" applyNumberFormat="1" applyFont="1" applyFill="1" applyAlignment="1" applyProtection="1">
      <alignment horizontal="center" vertical="center"/>
      <protection hidden="1"/>
    </xf>
    <xf numFmtId="0" fontId="26" fillId="8" borderId="30" xfId="0" applyFont="1" applyFill="1" applyBorder="1" applyAlignment="1" applyProtection="1">
      <alignment horizontal="center" vertical="center"/>
      <protection hidden="1"/>
    </xf>
    <xf numFmtId="0" fontId="24" fillId="8" borderId="7" xfId="1" applyNumberFormat="1" applyFont="1" applyFill="1" applyBorder="1" applyAlignment="1" applyProtection="1">
      <alignment horizontal="center" vertical="center"/>
      <protection hidden="1"/>
    </xf>
    <xf numFmtId="0" fontId="24" fillId="8" borderId="52" xfId="1" applyNumberFormat="1" applyFont="1" applyFill="1" applyBorder="1" applyAlignment="1" applyProtection="1">
      <alignment horizontal="center" vertical="center"/>
      <protection hidden="1"/>
    </xf>
    <xf numFmtId="164" fontId="24" fillId="8" borderId="21" xfId="1" applyNumberFormat="1" applyFont="1" applyFill="1" applyBorder="1" applyAlignment="1" applyProtection="1">
      <alignment horizontal="center" vertical="center"/>
      <protection hidden="1"/>
    </xf>
    <xf numFmtId="164" fontId="24" fillId="8" borderId="53" xfId="1" applyNumberFormat="1" applyFont="1" applyFill="1" applyBorder="1" applyAlignment="1" applyProtection="1">
      <alignment horizontal="center" vertical="center"/>
      <protection hidden="1"/>
    </xf>
    <xf numFmtId="164" fontId="24" fillId="8" borderId="29" xfId="1" applyNumberFormat="1" applyFont="1" applyFill="1" applyBorder="1" applyAlignment="1" applyProtection="1">
      <alignment horizontal="center" vertical="center"/>
      <protection hidden="1"/>
    </xf>
    <xf numFmtId="0" fontId="26" fillId="8" borderId="4" xfId="0" applyFont="1" applyFill="1" applyBorder="1" applyAlignment="1" applyProtection="1">
      <alignment horizontal="center" vertical="center"/>
      <protection hidden="1"/>
    </xf>
    <xf numFmtId="0" fontId="26" fillId="2" borderId="40" xfId="0" applyFont="1" applyFill="1" applyBorder="1" applyAlignment="1" applyProtection="1">
      <alignment horizontal="center" vertical="center"/>
      <protection locked="0" hidden="1"/>
    </xf>
  </cellXfs>
  <cellStyles count="6">
    <cellStyle name="Comma" xfId="3" builtinId="3"/>
    <cellStyle name="Comma [0] 2" xfId="2" xr:uid="{00000000-0005-0000-0000-000001000000}"/>
    <cellStyle name="Currency" xfId="5" builtinId="4"/>
    <cellStyle name="Normal" xfId="0" builtinId="0"/>
    <cellStyle name="Normal 2" xfId="1" xr:uid="{00000000-0005-0000-0000-000004000000}"/>
    <cellStyle name="Percent" xfId="4" builtinId="5"/>
  </cellStyles>
  <dxfs count="7">
    <dxf>
      <font>
        <strike val="0"/>
        <condense val="0"/>
        <extend val="0"/>
      </font>
    </dxf>
    <dxf>
      <font>
        <strike val="0"/>
        <condense val="0"/>
        <extend val="0"/>
      </font>
    </dxf>
    <dxf>
      <font>
        <strike val="0"/>
        <condense val="0"/>
        <extend val="0"/>
      </font>
    </dxf>
    <dxf>
      <font>
        <strike val="0"/>
        <condense val="0"/>
        <extend val="0"/>
      </font>
    </dxf>
    <dxf>
      <font>
        <strike val="0"/>
        <condense val="0"/>
        <extend val="0"/>
      </font>
    </dxf>
    <dxf>
      <font>
        <strike val="0"/>
        <condense val="0"/>
        <extend val="0"/>
      </font>
    </dxf>
    <dxf>
      <font>
        <strike val="0"/>
        <condense val="0"/>
        <extend val="0"/>
      </font>
    </dxf>
  </dxfs>
  <tableStyles count="0" defaultTableStyle="TableStyleMedium2" defaultPivotStyle="PivotStyleMedium9"/>
  <colors>
    <mruColors>
      <color rgb="FFFF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1086556</xdr:colOff>
      <xdr:row>0</xdr:row>
      <xdr:rowOff>56444</xdr:rowOff>
    </xdr:from>
    <xdr:to>
      <xdr:col>5</xdr:col>
      <xdr:colOff>594218</xdr:colOff>
      <xdr:row>1</xdr:row>
      <xdr:rowOff>189026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8112" y="56444"/>
          <a:ext cx="2544020" cy="570026"/>
        </a:xfrm>
        <a:prstGeom prst="rect">
          <a:avLst/>
        </a:prstGeom>
      </xdr:spPr>
    </xdr:pic>
    <xdr:clientData/>
  </xdr:twoCellAnchor>
  <xdr:twoCellAnchor editAs="oneCell">
    <xdr:from>
      <xdr:col>6</xdr:col>
      <xdr:colOff>595629</xdr:colOff>
      <xdr:row>0</xdr:row>
      <xdr:rowOff>328082</xdr:rowOff>
    </xdr:from>
    <xdr:to>
      <xdr:col>9</xdr:col>
      <xdr:colOff>1270512</xdr:colOff>
      <xdr:row>5</xdr:row>
      <xdr:rowOff>19261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4D26A49-5D1B-4A48-8E91-D9B58FFDA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5546" y="328082"/>
          <a:ext cx="2480823" cy="1194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31753</xdr:colOff>
      <xdr:row>0</xdr:row>
      <xdr:rowOff>84666</xdr:rowOff>
    </xdr:from>
    <xdr:to>
      <xdr:col>20</xdr:col>
      <xdr:colOff>31750</xdr:colOff>
      <xdr:row>1</xdr:row>
      <xdr:rowOff>48778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4336" y="84666"/>
          <a:ext cx="3227914" cy="7684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76200</xdr:colOff>
      <xdr:row>56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3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61100</xdr:rowOff>
    </xdr:from>
    <xdr:to>
      <xdr:col>12</xdr:col>
      <xdr:colOff>76200</xdr:colOff>
      <xdr:row>112</xdr:row>
      <xdr:rowOff>175400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4180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16</xdr:col>
      <xdr:colOff>286385</xdr:colOff>
      <xdr:row>57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2450"/>
          <a:ext cx="941705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61</xdr:row>
      <xdr:rowOff>107950</xdr:rowOff>
    </xdr:from>
    <xdr:to>
      <xdr:col>16</xdr:col>
      <xdr:colOff>342900</xdr:colOff>
      <xdr:row>119</xdr:row>
      <xdr:rowOff>95885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1341100"/>
          <a:ext cx="9937750" cy="1065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139700</xdr:rowOff>
    </xdr:from>
    <xdr:to>
      <xdr:col>15</xdr:col>
      <xdr:colOff>139700</xdr:colOff>
      <xdr:row>53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1489" t="5383" r="31041" b="52616"/>
        <a:stretch/>
      </xdr:blipFill>
      <xdr:spPr bwMode="auto">
        <a:xfrm>
          <a:off x="0" y="139700"/>
          <a:ext cx="9283700" cy="9683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ruetzm\AppData\Local\Microsoft\Windows\INetCache\Content.Outlook\2XDNNR1D\Bostonf%20Door%20Order%20Form%20V5.4%20(Metro)%20(4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VALEN"/>
      <sheetName val="Doors"/>
      <sheetName val="LISTS"/>
      <sheetName val="Moldings"/>
    </sheetNames>
    <sheetDataSet>
      <sheetData sheetId="0"/>
      <sheetData sheetId="1"/>
      <sheetData sheetId="2"/>
      <sheetData sheetId="3">
        <row r="2">
          <cell r="B2" t="str">
            <v>White Driftwood      8200-16</v>
          </cell>
        </row>
        <row r="3">
          <cell r="B3" t="str">
            <v>Weathered Char     8204-16</v>
          </cell>
        </row>
        <row r="4">
          <cell r="B4" t="str">
            <v>Phantom Charcoal  8214-28</v>
          </cell>
        </row>
        <row r="5">
          <cell r="B5" t="str">
            <v>Linen  D427-60</v>
          </cell>
        </row>
        <row r="6">
          <cell r="B6" t="str">
            <v>Veranda Teak        8209-28</v>
          </cell>
        </row>
        <row r="7">
          <cell r="B7" t="str">
            <v>Branded Oak         8207-16</v>
          </cell>
        </row>
        <row r="8">
          <cell r="B8" t="str">
            <v>Saddle Oak           8206-16</v>
          </cell>
        </row>
        <row r="9">
          <cell r="B9" t="str">
            <v>Fawn Cypress       8208-16</v>
          </cell>
        </row>
        <row r="10">
          <cell r="B10" t="str">
            <v>Columbian Walnut  7943-07</v>
          </cell>
        </row>
        <row r="11">
          <cell r="B11" t="str">
            <v>Phantom Ecru       8212-28</v>
          </cell>
        </row>
        <row r="12">
          <cell r="B12" t="str">
            <v>River Cherry          7937-38</v>
          </cell>
        </row>
        <row r="13">
          <cell r="B13" t="str">
            <v>Florence Walnut    7993-38</v>
          </cell>
        </row>
        <row r="14">
          <cell r="B14" t="str">
            <v>Shaker Cherry       7935-07</v>
          </cell>
        </row>
        <row r="15">
          <cell r="B15" t="str">
            <v>Cafelle 7933-07</v>
          </cell>
        </row>
        <row r="16">
          <cell r="B16" t="str">
            <v>Neowalnut 7991-38</v>
          </cell>
        </row>
        <row r="17">
          <cell r="B17" t="str">
            <v>Ebony Recon        7997-38</v>
          </cell>
        </row>
        <row r="18">
          <cell r="B18" t="str">
            <v>Phantom Pearl      8211-28</v>
          </cell>
        </row>
      </sheetData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atty Rasmussen" refreshedDate="44700.683818750003" missingItemsLimit="0" createdVersion="5" refreshedVersion="7" minRefreshableVersion="3" recordCount="38" xr:uid="{00000000-000A-0000-FFFF-FFFFAA000000}">
  <cacheSource type="worksheet">
    <worksheetSource ref="A5:E43" sheet="INFOR ORDER"/>
  </cacheSource>
  <cacheFields count="5">
    <cacheField name="Item Type" numFmtId="0">
      <sharedItems count="3">
        <s v=""/>
        <s v="FREIGHT"/>
        <s v="SURCHARGE"/>
      </sharedItems>
    </cacheField>
    <cacheField name="Infor SKU" numFmtId="0">
      <sharedItems count="3">
        <s v=""/>
        <s v="FREIGHT"/>
        <s v="SURCHARGE"/>
      </sharedItems>
    </cacheField>
    <cacheField name="Sq Ft" numFmtId="43">
      <sharedItems containsSemiMixedTypes="0" containsString="0" containsNumber="1" containsInteger="1" minValue="0" maxValue="0"/>
    </cacheField>
    <cacheField name="Price" numFmtId="43">
      <sharedItems containsSemiMixedTypes="0" containsString="0" containsNumber="1" containsInteger="1" minValue="0" maxValue="0"/>
    </cacheField>
    <cacheField name="Total" numFmtId="44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">
  <r>
    <x v="0"/>
    <x v="0"/>
    <n v="0"/>
    <n v="0"/>
    <s v="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s v=""/>
  </r>
  <r>
    <x v="0"/>
    <x v="0"/>
    <n v="0"/>
    <n v="0"/>
    <s v=""/>
  </r>
  <r>
    <x v="0"/>
    <x v="0"/>
    <n v="0"/>
    <n v="0"/>
    <s v=""/>
  </r>
  <r>
    <x v="0"/>
    <x v="0"/>
    <n v="0"/>
    <n v="0"/>
    <s v=""/>
  </r>
  <r>
    <x v="0"/>
    <x v="0"/>
    <n v="0"/>
    <n v="0"/>
    <s v=""/>
  </r>
  <r>
    <x v="0"/>
    <x v="0"/>
    <n v="0"/>
    <n v="0"/>
    <s v=""/>
  </r>
  <r>
    <x v="1"/>
    <x v="1"/>
    <n v="0"/>
    <n v="0"/>
    <n v="0"/>
  </r>
  <r>
    <x v="2"/>
    <x v="2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4" applyNumberFormats="0" applyBorderFormats="0" applyFontFormats="0" applyPatternFormats="0" applyAlignmentFormats="0" applyWidthHeightFormats="1" dataCaption="Values" grandTotalCaption="Sub Total" showError="1" updatedVersion="7" minRefreshableVersion="3" enableDrill="0" useAutoFormatting="1" itemPrintTitles="1" createdVersion="5" indent="0" outline="1" outlineData="1" multipleFieldFilters="0">
  <location ref="G10:I14" firstHeaderRow="0" firstDataRow="1" firstDataCol="1"/>
  <pivotFields count="5">
    <pivotField axis="axisRow" showAll="0" defaultSubtotal="0">
      <items count="3">
        <item sd="0" x="0"/>
        <item sd="0" x="1"/>
        <item sd="0" x="2"/>
      </items>
    </pivotField>
    <pivotField axis="axisRow" showAll="0">
      <items count="4">
        <item x="0"/>
        <item x="2"/>
        <item x="1"/>
        <item t="default"/>
      </items>
    </pivotField>
    <pivotField dataField="1" numFmtId="43" showAll="0"/>
    <pivotField numFmtId="43" showAll="0" defaultSubtotal="0"/>
    <pivotField dataField="1" showAll="0"/>
  </pivotFields>
  <rowFields count="2">
    <field x="0"/>
    <field x="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q Ft" fld="2" baseField="0" baseItem="0" numFmtId="39"/>
    <dataField name="Sum of Total" fld="4" baseField="0" baseItem="0" numFmtId="7"/>
  </dataField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outlinePr summaryRight="0"/>
  </sheetPr>
  <dimension ref="A1:X66"/>
  <sheetViews>
    <sheetView showGridLines="0" showZeros="0" tabSelected="1" topLeftCell="A43" zoomScale="90" zoomScaleNormal="90" zoomScalePageLayoutView="50" workbookViewId="0">
      <selection activeCell="A59" sqref="A59"/>
    </sheetView>
  </sheetViews>
  <sheetFormatPr defaultColWidth="9.1796875" defaultRowHeight="12.5" outlineLevelCol="1" x14ac:dyDescent="0.35"/>
  <cols>
    <col min="1" max="1" width="8.81640625" style="9" customWidth="1"/>
    <col min="2" max="2" width="16" style="9" customWidth="1"/>
    <col min="3" max="3" width="25.81640625" style="9" customWidth="1"/>
    <col min="4" max="4" width="17.54296875" style="9" customWidth="1"/>
    <col min="5" max="5" width="61" style="9" hidden="1" customWidth="1"/>
    <col min="6" max="6" width="27.1796875" style="9" customWidth="1"/>
    <col min="7" max="8" width="8.81640625" style="9" bestFit="1" customWidth="1"/>
    <col min="9" max="9" width="8.81640625" style="9" customWidth="1"/>
    <col min="10" max="10" width="19.1796875" style="9" customWidth="1"/>
    <col min="11" max="11" width="21.1796875" style="9" customWidth="1"/>
    <col min="12" max="12" width="12.1796875" style="9" customWidth="1"/>
    <col min="13" max="13" width="11.54296875" style="9" customWidth="1"/>
    <col min="14" max="14" width="16.1796875" style="9" customWidth="1"/>
    <col min="15" max="15" width="2.54296875" style="130" customWidth="1"/>
    <col min="16" max="17" width="16.1796875" style="9" customWidth="1" outlineLevel="1"/>
    <col min="18" max="18" width="13.453125" style="9" customWidth="1"/>
    <col min="19" max="19" width="10.453125" style="47" customWidth="1"/>
    <col min="20" max="20" width="10.81640625" style="47" customWidth="1"/>
    <col min="21" max="21" width="12.81640625" style="47" customWidth="1"/>
    <col min="22" max="22" width="11.453125" style="47" customWidth="1"/>
    <col min="23" max="23" width="13.453125" style="47" customWidth="1"/>
    <col min="24" max="16384" width="9.1796875" style="9"/>
  </cols>
  <sheetData>
    <row r="1" spans="1:24" ht="34.5" customHeight="1" x14ac:dyDescent="0.35">
      <c r="A1" s="70"/>
      <c r="B1" s="71"/>
      <c r="C1" s="71"/>
      <c r="D1" s="71"/>
      <c r="E1" s="71"/>
      <c r="F1" s="71"/>
      <c r="G1" s="71"/>
      <c r="H1" s="71"/>
      <c r="I1" s="71"/>
      <c r="J1" s="71"/>
      <c r="K1" s="72"/>
      <c r="L1" s="71"/>
      <c r="M1" s="71"/>
    </row>
    <row r="2" spans="1:24" ht="27" customHeight="1" x14ac:dyDescent="0.35">
      <c r="A2" s="73"/>
      <c r="B2" s="74"/>
      <c r="C2" s="74"/>
      <c r="D2" s="74"/>
      <c r="E2" s="74"/>
      <c r="F2" s="74"/>
      <c r="G2" s="74"/>
      <c r="H2" s="74"/>
      <c r="I2" s="74"/>
      <c r="J2" s="74"/>
      <c r="K2" s="49" t="s">
        <v>1461</v>
      </c>
      <c r="L2" s="74"/>
      <c r="M2" s="74"/>
    </row>
    <row r="3" spans="1:24" s="49" customFormat="1" ht="20.25" customHeight="1" x14ac:dyDescent="0.35">
      <c r="A3" s="265" t="s">
        <v>4</v>
      </c>
      <c r="B3" s="271"/>
      <c r="C3" s="268"/>
      <c r="D3" s="268"/>
      <c r="E3" s="269"/>
      <c r="F3" s="269"/>
      <c r="G3" s="75"/>
      <c r="H3" s="265"/>
      <c r="I3" s="265"/>
      <c r="J3" s="266"/>
      <c r="K3" s="49" t="s">
        <v>1458</v>
      </c>
      <c r="L3" s="48"/>
      <c r="M3" s="48"/>
      <c r="O3" s="131"/>
      <c r="S3" s="50"/>
      <c r="T3" s="50"/>
      <c r="U3" s="50"/>
      <c r="V3" s="50"/>
      <c r="W3" s="50"/>
    </row>
    <row r="4" spans="1:24" s="49" customFormat="1" ht="20.25" customHeight="1" x14ac:dyDescent="0.35">
      <c r="A4" s="265" t="s">
        <v>19</v>
      </c>
      <c r="B4" s="271"/>
      <c r="C4" s="269"/>
      <c r="D4" s="269"/>
      <c r="E4" s="269"/>
      <c r="F4" s="269"/>
      <c r="G4" s="75"/>
      <c r="H4" s="265"/>
      <c r="I4" s="265"/>
      <c r="J4" s="266"/>
      <c r="K4" s="49" t="s">
        <v>1459</v>
      </c>
      <c r="L4" s="48"/>
      <c r="M4" s="48"/>
      <c r="O4" s="131"/>
      <c r="S4" s="50"/>
      <c r="T4" s="50"/>
      <c r="U4" s="50"/>
      <c r="V4" s="50"/>
      <c r="W4" s="50"/>
    </row>
    <row r="5" spans="1:24" s="49" customFormat="1" ht="20.25" customHeight="1" x14ac:dyDescent="0.35">
      <c r="A5" s="265" t="s">
        <v>20</v>
      </c>
      <c r="B5" s="271"/>
      <c r="C5" s="269"/>
      <c r="D5" s="269"/>
      <c r="E5" s="269"/>
      <c r="F5" s="269"/>
      <c r="G5" s="75"/>
      <c r="H5" s="265"/>
      <c r="I5" s="265"/>
      <c r="J5" s="266"/>
      <c r="K5" s="49" t="s">
        <v>1460</v>
      </c>
      <c r="L5" s="48"/>
      <c r="M5" s="48"/>
      <c r="O5" s="131"/>
      <c r="S5" s="50"/>
      <c r="T5" s="50"/>
      <c r="U5" s="50"/>
      <c r="V5" s="50"/>
      <c r="W5" s="50"/>
    </row>
    <row r="6" spans="1:24" s="49" customFormat="1" ht="20.25" customHeight="1" x14ac:dyDescent="0.35">
      <c r="A6" s="265" t="s">
        <v>21</v>
      </c>
      <c r="B6" s="271"/>
      <c r="C6" s="269"/>
      <c r="D6" s="269"/>
      <c r="E6" s="269"/>
      <c r="F6" s="269"/>
      <c r="G6" s="75"/>
      <c r="K6" s="49" t="s">
        <v>1462</v>
      </c>
      <c r="O6" s="131"/>
      <c r="S6" s="50"/>
      <c r="T6" s="50"/>
      <c r="U6" s="50"/>
      <c r="V6" s="50"/>
      <c r="W6" s="50"/>
    </row>
    <row r="7" spans="1:24" s="49" customFormat="1" ht="20.25" customHeight="1" x14ac:dyDescent="0.35">
      <c r="A7" s="265" t="s">
        <v>23</v>
      </c>
      <c r="B7" s="271"/>
      <c r="C7" s="269"/>
      <c r="D7" s="269"/>
      <c r="E7" s="269"/>
      <c r="F7" s="269"/>
      <c r="G7" s="75"/>
      <c r="J7" s="208"/>
      <c r="K7" s="267"/>
      <c r="L7" s="267"/>
      <c r="M7" s="267"/>
      <c r="O7" s="131"/>
      <c r="S7" s="50"/>
      <c r="T7" s="50"/>
      <c r="U7" s="50"/>
      <c r="V7" s="50"/>
      <c r="W7" s="50"/>
    </row>
    <row r="8" spans="1:24" s="49" customFormat="1" ht="20.25" customHeight="1" x14ac:dyDescent="0.35">
      <c r="A8" s="265" t="s">
        <v>24</v>
      </c>
      <c r="B8" s="271"/>
      <c r="C8" s="270"/>
      <c r="D8" s="270"/>
      <c r="E8" s="270"/>
      <c r="F8" s="270"/>
      <c r="G8" s="75"/>
      <c r="I8" s="107" t="s">
        <v>22</v>
      </c>
      <c r="J8" s="109"/>
      <c r="K8" s="262"/>
      <c r="L8" s="263"/>
      <c r="M8" s="264"/>
      <c r="O8" s="131"/>
      <c r="S8" s="50"/>
      <c r="T8" s="50"/>
      <c r="U8" s="50"/>
      <c r="V8" s="50"/>
      <c r="W8" s="50"/>
    </row>
    <row r="9" spans="1:24" s="49" customFormat="1" ht="20.25" customHeight="1" x14ac:dyDescent="0.35">
      <c r="A9" s="265" t="s">
        <v>25</v>
      </c>
      <c r="B9" s="271"/>
      <c r="C9" s="270"/>
      <c r="D9" s="270"/>
      <c r="E9" s="270"/>
      <c r="F9" s="270"/>
      <c r="G9" s="75"/>
      <c r="I9" s="108" t="s">
        <v>878</v>
      </c>
      <c r="J9" s="109"/>
      <c r="K9" s="262"/>
      <c r="L9" s="263"/>
      <c r="M9" s="264"/>
      <c r="O9" s="131"/>
      <c r="S9" s="50"/>
      <c r="T9" s="50"/>
      <c r="U9" s="50"/>
      <c r="V9" s="50"/>
      <c r="W9" s="50"/>
    </row>
    <row r="10" spans="1:24" s="49" customFormat="1" ht="17.25" customHeight="1" x14ac:dyDescent="0.35">
      <c r="A10" s="245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23">
        <v>44634</v>
      </c>
      <c r="O10" s="131"/>
      <c r="S10" s="50"/>
      <c r="T10" s="50"/>
      <c r="U10" s="50"/>
      <c r="V10" s="50"/>
      <c r="W10" s="50"/>
    </row>
    <row r="11" spans="1:24" ht="6.75" customHeight="1" x14ac:dyDescent="0.35">
      <c r="A11" s="272"/>
      <c r="B11" s="272"/>
      <c r="C11" s="272"/>
      <c r="D11" s="272"/>
      <c r="E11" s="272"/>
      <c r="F11" s="272"/>
      <c r="G11" s="272"/>
      <c r="H11" s="272"/>
      <c r="I11" s="272"/>
      <c r="J11" s="272"/>
      <c r="K11" s="272"/>
      <c r="L11" s="246"/>
      <c r="M11" s="246"/>
    </row>
    <row r="12" spans="1:24" s="51" customFormat="1" ht="47.25" customHeight="1" x14ac:dyDescent="0.35">
      <c r="A12" s="2" t="s">
        <v>32</v>
      </c>
      <c r="B12" s="282"/>
      <c r="C12" s="283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4"/>
      <c r="O12" s="132"/>
      <c r="X12" s="9"/>
    </row>
    <row r="13" spans="1:24" ht="6.75" customHeight="1" thickBot="1" x14ac:dyDescent="0.4">
      <c r="A13" s="205" t="s">
        <v>859</v>
      </c>
      <c r="B13" s="206"/>
      <c r="C13" s="206"/>
      <c r="D13" s="206"/>
      <c r="E13" s="206"/>
      <c r="F13" s="206"/>
      <c r="G13" s="206"/>
      <c r="H13" s="206"/>
      <c r="I13" s="206"/>
      <c r="J13" s="206"/>
      <c r="K13" s="52"/>
    </row>
    <row r="14" spans="1:24" ht="37.5" customHeight="1" thickBot="1" x14ac:dyDescent="0.4">
      <c r="A14" s="3" t="s">
        <v>60</v>
      </c>
      <c r="B14" s="4" t="s">
        <v>6</v>
      </c>
      <c r="C14" s="4" t="s">
        <v>8</v>
      </c>
      <c r="D14" s="4" t="s">
        <v>3</v>
      </c>
      <c r="E14" s="1" t="s">
        <v>83</v>
      </c>
      <c r="F14" s="4" t="s">
        <v>9</v>
      </c>
      <c r="G14" s="4" t="s">
        <v>112</v>
      </c>
      <c r="H14" s="4" t="s">
        <v>113</v>
      </c>
      <c r="I14" s="4" t="s">
        <v>114</v>
      </c>
      <c r="J14" s="4" t="s">
        <v>2</v>
      </c>
      <c r="K14" s="4" t="s">
        <v>38</v>
      </c>
      <c r="L14" s="4" t="s">
        <v>121</v>
      </c>
      <c r="M14" s="6" t="s">
        <v>122</v>
      </c>
      <c r="N14" s="7" t="s">
        <v>0</v>
      </c>
      <c r="O14" s="133"/>
    </row>
    <row r="15" spans="1:24" s="5" customFormat="1" ht="31.5" customHeight="1" x14ac:dyDescent="0.35">
      <c r="A15" s="59"/>
      <c r="B15" s="60"/>
      <c r="C15" s="60"/>
      <c r="D15" s="61"/>
      <c r="E15" s="54" t="str">
        <f t="shared" ref="E15:E44" si="0">CONCATENATE(B15,C15,D15)</f>
        <v/>
      </c>
      <c r="F15" s="55" t="str">
        <f>IFERROR(IF(C15&gt;0,VLOOKUP(E15,'Price Lists'!C:D,2,FALSE),""),"")</f>
        <v/>
      </c>
      <c r="G15" s="62"/>
      <c r="H15" s="62"/>
      <c r="I15" s="63">
        <f t="shared" ref="I15:I44" si="1">IFERROR((G15*H15)/144,"")</f>
        <v>0</v>
      </c>
      <c r="J15" s="61"/>
      <c r="K15" s="61"/>
      <c r="L15" s="98" t="str">
        <f>IFERROR(Sheet1!A18/(1-Moldings!$Z$200),"")</f>
        <v/>
      </c>
      <c r="M15" s="57" t="str">
        <f t="shared" ref="M15:M44" si="2">IFERROR(L15/I15,"")</f>
        <v/>
      </c>
      <c r="N15" s="58" t="str">
        <f t="shared" ref="N15:N44" si="3">IF(ISERROR(($A15*$L15)),(""),($A15*$L15))</f>
        <v/>
      </c>
      <c r="O15" s="134"/>
    </row>
    <row r="16" spans="1:24" s="5" customFormat="1" ht="31.5" customHeight="1" x14ac:dyDescent="0.35">
      <c r="A16" s="59"/>
      <c r="B16" s="60" t="str">
        <f t="shared" ref="B16:B44" si="4">IF($A16&lt;&gt;"",B15,"")</f>
        <v/>
      </c>
      <c r="C16" s="60" t="str">
        <f t="shared" ref="C16:C17" si="5">IF($A16="","",
IF($B16="Slab","Slab",
IF($B16=$B15,C15,"")))</f>
        <v/>
      </c>
      <c r="D16" s="61" t="str">
        <f t="shared" ref="D16:D17" si="6">IF($A16="","",
IF($B16="Slab","Slab",
IF($B16=$B15,D15,"")))</f>
        <v/>
      </c>
      <c r="E16" s="54" t="str">
        <f t="shared" si="0"/>
        <v/>
      </c>
      <c r="F16" s="55" t="str">
        <f>IFERROR(IF(C16&gt;0,VLOOKUP(E16,'Price Lists'!C:D,2,FALSE),""),"")</f>
        <v/>
      </c>
      <c r="G16" s="62"/>
      <c r="H16" s="62"/>
      <c r="I16" s="63">
        <f t="shared" si="1"/>
        <v>0</v>
      </c>
      <c r="J16" s="61" t="str">
        <f t="shared" ref="J16:J44" si="7">IF($A16&lt;&gt;"",J15,"")</f>
        <v/>
      </c>
      <c r="K16" s="61" t="str">
        <f t="shared" ref="K16:K44" si="8">IF($A16="","",
IF($B16="Slab","Slab",
IF($B16=$B15,K15,"")))</f>
        <v/>
      </c>
      <c r="L16" s="204">
        <f>IFERROR(Sheet1!A19/(1-Moldings!$Z$200),"")</f>
        <v>0</v>
      </c>
      <c r="M16" s="64" t="str">
        <f t="shared" si="2"/>
        <v/>
      </c>
      <c r="N16" s="58">
        <f t="shared" si="3"/>
        <v>0</v>
      </c>
      <c r="O16" s="134"/>
    </row>
    <row r="17" spans="1:15" s="5" customFormat="1" ht="31.5" customHeight="1" x14ac:dyDescent="0.35">
      <c r="A17" s="59"/>
      <c r="B17" s="60" t="str">
        <f>IF($A17&lt;&gt;"",B16,"")</f>
        <v/>
      </c>
      <c r="C17" s="60" t="str">
        <f t="shared" si="5"/>
        <v/>
      </c>
      <c r="D17" s="61" t="str">
        <f t="shared" si="6"/>
        <v/>
      </c>
      <c r="E17" s="54" t="str">
        <f t="shared" si="0"/>
        <v/>
      </c>
      <c r="F17" s="55" t="str">
        <f>IFERROR(IF(C17&gt;0,VLOOKUP(E17,'Price Lists'!C:D,2,FALSE),""),"")</f>
        <v/>
      </c>
      <c r="G17" s="62"/>
      <c r="H17" s="62"/>
      <c r="I17" s="63">
        <f t="shared" si="1"/>
        <v>0</v>
      </c>
      <c r="J17" s="61" t="str">
        <f t="shared" si="7"/>
        <v/>
      </c>
      <c r="K17" s="61" t="str">
        <f t="shared" si="8"/>
        <v/>
      </c>
      <c r="L17" s="56">
        <f>IFERROR(Sheet1!A20/(1-Moldings!$Z$200),"")</f>
        <v>0</v>
      </c>
      <c r="M17" s="64" t="str">
        <f t="shared" si="2"/>
        <v/>
      </c>
      <c r="N17" s="58">
        <f t="shared" si="3"/>
        <v>0</v>
      </c>
      <c r="O17" s="134"/>
    </row>
    <row r="18" spans="1:15" s="5" customFormat="1" ht="31.5" customHeight="1" x14ac:dyDescent="0.35">
      <c r="A18" s="59"/>
      <c r="B18" s="60" t="str">
        <f>IF($A18&lt;&gt;"",B17,"")</f>
        <v/>
      </c>
      <c r="C18" s="60" t="str">
        <f>IF($A18="","",
IF($B18="Slab","Slab",
IF($B18=$B17,C17,"")))</f>
        <v/>
      </c>
      <c r="D18" s="61" t="str">
        <f>IF($A18="","",
IF($B18="Slab","Slab",
IF($B18=$B17,D17,"")))</f>
        <v/>
      </c>
      <c r="E18" s="54" t="str">
        <f t="shared" si="0"/>
        <v/>
      </c>
      <c r="F18" s="55" t="str">
        <f>IFERROR(IF(C18&gt;0,VLOOKUP(E18,'Price Lists'!C:D,2,FALSE),""),"")</f>
        <v/>
      </c>
      <c r="G18" s="62"/>
      <c r="H18" s="62"/>
      <c r="I18" s="63">
        <f t="shared" si="1"/>
        <v>0</v>
      </c>
      <c r="J18" s="61" t="str">
        <f t="shared" si="7"/>
        <v/>
      </c>
      <c r="K18" s="61" t="str">
        <f t="shared" si="8"/>
        <v/>
      </c>
      <c r="L18" s="56">
        <f>IFERROR(Sheet1!A21/(1-Moldings!$Z$200),"")</f>
        <v>0</v>
      </c>
      <c r="M18" s="64" t="str">
        <f t="shared" si="2"/>
        <v/>
      </c>
      <c r="N18" s="58">
        <f t="shared" si="3"/>
        <v>0</v>
      </c>
      <c r="O18" s="134"/>
    </row>
    <row r="19" spans="1:15" s="5" customFormat="1" ht="31.5" customHeight="1" x14ac:dyDescent="0.35">
      <c r="A19" s="59"/>
      <c r="B19" s="60" t="str">
        <f t="shared" si="4"/>
        <v/>
      </c>
      <c r="C19" s="60" t="str">
        <f t="shared" ref="C19:C44" si="9">IF($A19="","",
IF($B19="Slab","Slab",
IF($B19=$B18,C18,"")))</f>
        <v/>
      </c>
      <c r="D19" s="61" t="str">
        <f t="shared" ref="D19:D44" si="10">IF($A19="","",
IF($B19="Slab","Slab",
IF($B19=$B18,D18,"")))</f>
        <v/>
      </c>
      <c r="E19" s="54" t="str">
        <f t="shared" si="0"/>
        <v/>
      </c>
      <c r="F19" s="55" t="str">
        <f>IFERROR(IF(C19&gt;0,VLOOKUP(E19,'Price Lists'!C:D,2,FALSE),""),"")</f>
        <v/>
      </c>
      <c r="G19" s="62"/>
      <c r="H19" s="62"/>
      <c r="I19" s="63">
        <f t="shared" si="1"/>
        <v>0</v>
      </c>
      <c r="J19" s="61" t="str">
        <f t="shared" si="7"/>
        <v/>
      </c>
      <c r="K19" s="61" t="str">
        <f t="shared" si="8"/>
        <v/>
      </c>
      <c r="L19" s="56">
        <f>IFERROR(Sheet1!A22/(1-Moldings!$Z$200),"")</f>
        <v>0</v>
      </c>
      <c r="M19" s="64" t="str">
        <f t="shared" si="2"/>
        <v/>
      </c>
      <c r="N19" s="58">
        <f t="shared" si="3"/>
        <v>0</v>
      </c>
      <c r="O19" s="134"/>
    </row>
    <row r="20" spans="1:15" s="5" customFormat="1" ht="31.5" customHeight="1" x14ac:dyDescent="0.35">
      <c r="A20" s="59"/>
      <c r="B20" s="60" t="str">
        <f t="shared" si="4"/>
        <v/>
      </c>
      <c r="C20" s="60" t="str">
        <f t="shared" si="9"/>
        <v/>
      </c>
      <c r="D20" s="61" t="str">
        <f t="shared" si="10"/>
        <v/>
      </c>
      <c r="E20" s="54" t="str">
        <f t="shared" si="0"/>
        <v/>
      </c>
      <c r="F20" s="55" t="str">
        <f>IFERROR(IF(C20&gt;0,VLOOKUP(E20,'Price Lists'!C:D,2,FALSE),""),"")</f>
        <v/>
      </c>
      <c r="G20" s="62"/>
      <c r="H20" s="62"/>
      <c r="I20" s="63">
        <f t="shared" si="1"/>
        <v>0</v>
      </c>
      <c r="J20" s="61" t="str">
        <f t="shared" si="7"/>
        <v/>
      </c>
      <c r="K20" s="61" t="str">
        <f t="shared" si="8"/>
        <v/>
      </c>
      <c r="L20" s="56">
        <f>IFERROR(Sheet1!A23/(1-Moldings!$Z$200),"")</f>
        <v>0</v>
      </c>
      <c r="M20" s="64" t="str">
        <f t="shared" si="2"/>
        <v/>
      </c>
      <c r="N20" s="58">
        <f t="shared" si="3"/>
        <v>0</v>
      </c>
      <c r="O20" s="134"/>
    </row>
    <row r="21" spans="1:15" s="5" customFormat="1" ht="31.5" customHeight="1" x14ac:dyDescent="0.35">
      <c r="A21" s="59"/>
      <c r="B21" s="60" t="str">
        <f t="shared" si="4"/>
        <v/>
      </c>
      <c r="C21" s="60" t="str">
        <f t="shared" si="9"/>
        <v/>
      </c>
      <c r="D21" s="61" t="str">
        <f t="shared" si="10"/>
        <v/>
      </c>
      <c r="E21" s="54" t="str">
        <f t="shared" si="0"/>
        <v/>
      </c>
      <c r="F21" s="55" t="str">
        <f>IFERROR(IF(C21&gt;0,VLOOKUP(E21,'Price Lists'!C:D,2,FALSE),""),"")</f>
        <v/>
      </c>
      <c r="G21" s="62"/>
      <c r="H21" s="62"/>
      <c r="I21" s="63">
        <f t="shared" si="1"/>
        <v>0</v>
      </c>
      <c r="J21" s="61" t="str">
        <f t="shared" si="7"/>
        <v/>
      </c>
      <c r="K21" s="61" t="str">
        <f t="shared" si="8"/>
        <v/>
      </c>
      <c r="L21" s="56">
        <f>IFERROR(Sheet1!A24/(1-Moldings!$Z$200),"")</f>
        <v>0</v>
      </c>
      <c r="M21" s="64" t="str">
        <f t="shared" si="2"/>
        <v/>
      </c>
      <c r="N21" s="58">
        <f t="shared" si="3"/>
        <v>0</v>
      </c>
      <c r="O21" s="134"/>
    </row>
    <row r="22" spans="1:15" s="5" customFormat="1" ht="31.5" customHeight="1" x14ac:dyDescent="0.35">
      <c r="A22" s="59"/>
      <c r="B22" s="60" t="str">
        <f t="shared" si="4"/>
        <v/>
      </c>
      <c r="C22" s="60" t="str">
        <f t="shared" si="9"/>
        <v/>
      </c>
      <c r="D22" s="61" t="str">
        <f t="shared" si="10"/>
        <v/>
      </c>
      <c r="E22" s="54" t="str">
        <f t="shared" si="0"/>
        <v/>
      </c>
      <c r="F22" s="55" t="str">
        <f>IFERROR(IF(C22&gt;0,VLOOKUP(E22,'Price Lists'!C:D,2,FALSE),""),"")</f>
        <v/>
      </c>
      <c r="G22" s="62"/>
      <c r="H22" s="62"/>
      <c r="I22" s="63">
        <f t="shared" si="1"/>
        <v>0</v>
      </c>
      <c r="J22" s="61" t="str">
        <f t="shared" si="7"/>
        <v/>
      </c>
      <c r="K22" s="61" t="str">
        <f t="shared" si="8"/>
        <v/>
      </c>
      <c r="L22" s="56">
        <f>IFERROR(Sheet1!A25/(1-Moldings!$Z$200),"")</f>
        <v>0</v>
      </c>
      <c r="M22" s="64" t="str">
        <f t="shared" si="2"/>
        <v/>
      </c>
      <c r="N22" s="58">
        <f t="shared" si="3"/>
        <v>0</v>
      </c>
      <c r="O22" s="134"/>
    </row>
    <row r="23" spans="1:15" s="5" customFormat="1" ht="31.5" customHeight="1" x14ac:dyDescent="0.35">
      <c r="A23" s="59"/>
      <c r="B23" s="60" t="str">
        <f t="shared" si="4"/>
        <v/>
      </c>
      <c r="C23" s="60" t="str">
        <f t="shared" si="9"/>
        <v/>
      </c>
      <c r="D23" s="61" t="str">
        <f t="shared" si="10"/>
        <v/>
      </c>
      <c r="E23" s="54" t="str">
        <f t="shared" si="0"/>
        <v/>
      </c>
      <c r="F23" s="55" t="str">
        <f>IFERROR(IF(C23&gt;0,VLOOKUP(E23,'Price Lists'!C:D,2,FALSE),""),"")</f>
        <v/>
      </c>
      <c r="G23" s="62"/>
      <c r="H23" s="62"/>
      <c r="I23" s="63">
        <f t="shared" si="1"/>
        <v>0</v>
      </c>
      <c r="J23" s="61" t="str">
        <f t="shared" si="7"/>
        <v/>
      </c>
      <c r="K23" s="61" t="str">
        <f t="shared" si="8"/>
        <v/>
      </c>
      <c r="L23" s="56">
        <f>IFERROR(Sheet1!A26/(1-Moldings!$Z$200),"")</f>
        <v>0</v>
      </c>
      <c r="M23" s="64" t="str">
        <f t="shared" si="2"/>
        <v/>
      </c>
      <c r="N23" s="58">
        <f t="shared" si="3"/>
        <v>0</v>
      </c>
      <c r="O23" s="134"/>
    </row>
    <row r="24" spans="1:15" s="5" customFormat="1" ht="31.5" customHeight="1" x14ac:dyDescent="0.35">
      <c r="A24" s="59"/>
      <c r="B24" s="60" t="str">
        <f t="shared" si="4"/>
        <v/>
      </c>
      <c r="C24" s="60" t="str">
        <f t="shared" si="9"/>
        <v/>
      </c>
      <c r="D24" s="61" t="str">
        <f t="shared" si="10"/>
        <v/>
      </c>
      <c r="E24" s="54" t="str">
        <f t="shared" si="0"/>
        <v/>
      </c>
      <c r="F24" s="55" t="str">
        <f>IFERROR(IF(C24&gt;0,VLOOKUP(E24,'Price Lists'!C:D,2,FALSE),""),"")</f>
        <v/>
      </c>
      <c r="G24" s="62"/>
      <c r="H24" s="62"/>
      <c r="I24" s="63">
        <f t="shared" si="1"/>
        <v>0</v>
      </c>
      <c r="J24" s="61" t="str">
        <f t="shared" si="7"/>
        <v/>
      </c>
      <c r="K24" s="61" t="str">
        <f t="shared" si="8"/>
        <v/>
      </c>
      <c r="L24" s="56">
        <f>IFERROR(Sheet1!A27/(1-Moldings!$Z$200),"")</f>
        <v>0</v>
      </c>
      <c r="M24" s="64" t="str">
        <f t="shared" si="2"/>
        <v/>
      </c>
      <c r="N24" s="58">
        <f t="shared" si="3"/>
        <v>0</v>
      </c>
      <c r="O24" s="134"/>
    </row>
    <row r="25" spans="1:15" s="5" customFormat="1" ht="31.5" customHeight="1" x14ac:dyDescent="0.35">
      <c r="A25" s="59"/>
      <c r="B25" s="60" t="str">
        <f t="shared" si="4"/>
        <v/>
      </c>
      <c r="C25" s="60" t="str">
        <f t="shared" si="9"/>
        <v/>
      </c>
      <c r="D25" s="61" t="str">
        <f t="shared" si="10"/>
        <v/>
      </c>
      <c r="E25" s="54" t="str">
        <f t="shared" si="0"/>
        <v/>
      </c>
      <c r="F25" s="55" t="str">
        <f>IFERROR(IF(C25&gt;0,VLOOKUP(E25,'Price Lists'!C:D,2,FALSE),""),"")</f>
        <v/>
      </c>
      <c r="G25" s="62"/>
      <c r="H25" s="62"/>
      <c r="I25" s="63">
        <f t="shared" si="1"/>
        <v>0</v>
      </c>
      <c r="J25" s="61" t="str">
        <f t="shared" si="7"/>
        <v/>
      </c>
      <c r="K25" s="61" t="str">
        <f t="shared" si="8"/>
        <v/>
      </c>
      <c r="L25" s="56">
        <f>IFERROR(Sheet1!A28/(1-Moldings!$Z$200),"")</f>
        <v>0</v>
      </c>
      <c r="M25" s="64" t="str">
        <f t="shared" si="2"/>
        <v/>
      </c>
      <c r="N25" s="58">
        <f t="shared" si="3"/>
        <v>0</v>
      </c>
      <c r="O25" s="134"/>
    </row>
    <row r="26" spans="1:15" s="5" customFormat="1" ht="31.5" customHeight="1" x14ac:dyDescent="0.35">
      <c r="A26" s="59"/>
      <c r="B26" s="60" t="str">
        <f t="shared" si="4"/>
        <v/>
      </c>
      <c r="C26" s="60" t="str">
        <f t="shared" si="9"/>
        <v/>
      </c>
      <c r="D26" s="61" t="str">
        <f t="shared" si="10"/>
        <v/>
      </c>
      <c r="E26" s="54" t="str">
        <f t="shared" ref="E26:E35" si="11">CONCATENATE(B26,C26,D26)</f>
        <v/>
      </c>
      <c r="F26" s="55" t="str">
        <f>IFERROR(IF(C26&gt;0,VLOOKUP(E26,'Price Lists'!C:D,2,FALSE),""),"")</f>
        <v/>
      </c>
      <c r="G26" s="62"/>
      <c r="H26" s="62"/>
      <c r="I26" s="63">
        <f t="shared" ref="I26:I35" si="12">IFERROR((G26*H26)/144,"")</f>
        <v>0</v>
      </c>
      <c r="J26" s="61" t="str">
        <f t="shared" si="7"/>
        <v/>
      </c>
      <c r="K26" s="61" t="str">
        <f t="shared" si="8"/>
        <v/>
      </c>
      <c r="L26" s="222">
        <f>IFERROR(Sheet1!A29/(1-Moldings!$Z$200),"")</f>
        <v>0</v>
      </c>
      <c r="M26" s="64" t="str">
        <f t="shared" ref="M26:M35" si="13">IFERROR(L26/I26,"")</f>
        <v/>
      </c>
      <c r="N26" s="58">
        <f t="shared" si="3"/>
        <v>0</v>
      </c>
      <c r="O26" s="134"/>
    </row>
    <row r="27" spans="1:15" s="5" customFormat="1" ht="31.5" customHeight="1" x14ac:dyDescent="0.35">
      <c r="A27" s="59"/>
      <c r="B27" s="60" t="str">
        <f t="shared" si="4"/>
        <v/>
      </c>
      <c r="C27" s="60" t="str">
        <f t="shared" si="9"/>
        <v/>
      </c>
      <c r="D27" s="61" t="str">
        <f t="shared" si="10"/>
        <v/>
      </c>
      <c r="E27" s="54" t="str">
        <f t="shared" si="11"/>
        <v/>
      </c>
      <c r="F27" s="55" t="str">
        <f>IFERROR(IF(C27&gt;0,VLOOKUP(E27,'Price Lists'!C:D,2,FALSE),""),"")</f>
        <v/>
      </c>
      <c r="G27" s="62"/>
      <c r="H27" s="62"/>
      <c r="I27" s="63">
        <f t="shared" si="12"/>
        <v>0</v>
      </c>
      <c r="J27" s="61" t="str">
        <f t="shared" si="7"/>
        <v/>
      </c>
      <c r="K27" s="61" t="str">
        <f t="shared" si="8"/>
        <v/>
      </c>
      <c r="L27" s="222">
        <f>IFERROR(Sheet1!A30/(1-Moldings!$Z$200),"")</f>
        <v>0</v>
      </c>
      <c r="M27" s="64" t="str">
        <f t="shared" si="13"/>
        <v/>
      </c>
      <c r="N27" s="58">
        <f t="shared" si="3"/>
        <v>0</v>
      </c>
      <c r="O27" s="134"/>
    </row>
    <row r="28" spans="1:15" s="5" customFormat="1" ht="31.5" customHeight="1" x14ac:dyDescent="0.35">
      <c r="A28" s="59"/>
      <c r="B28" s="60" t="str">
        <f t="shared" si="4"/>
        <v/>
      </c>
      <c r="C28" s="60" t="str">
        <f t="shared" si="9"/>
        <v/>
      </c>
      <c r="D28" s="61" t="str">
        <f t="shared" si="10"/>
        <v/>
      </c>
      <c r="E28" s="54" t="str">
        <f t="shared" si="11"/>
        <v/>
      </c>
      <c r="F28" s="55" t="str">
        <f>IFERROR(IF(C28&gt;0,VLOOKUP(E28,'Price Lists'!C:D,2,FALSE),""),"")</f>
        <v/>
      </c>
      <c r="G28" s="62"/>
      <c r="H28" s="62"/>
      <c r="I28" s="63">
        <f t="shared" si="12"/>
        <v>0</v>
      </c>
      <c r="J28" s="61" t="str">
        <f t="shared" si="7"/>
        <v/>
      </c>
      <c r="K28" s="61" t="str">
        <f t="shared" si="8"/>
        <v/>
      </c>
      <c r="L28" s="222">
        <f>IFERROR(Sheet1!A31/(1-Moldings!$Z$200),"")</f>
        <v>0</v>
      </c>
      <c r="M28" s="64" t="str">
        <f t="shared" si="13"/>
        <v/>
      </c>
      <c r="N28" s="58">
        <f t="shared" si="3"/>
        <v>0</v>
      </c>
      <c r="O28" s="134"/>
    </row>
    <row r="29" spans="1:15" s="5" customFormat="1" ht="31.5" customHeight="1" x14ac:dyDescent="0.35">
      <c r="A29" s="59"/>
      <c r="B29" s="60" t="str">
        <f t="shared" si="4"/>
        <v/>
      </c>
      <c r="C29" s="60" t="str">
        <f t="shared" si="9"/>
        <v/>
      </c>
      <c r="D29" s="61" t="str">
        <f t="shared" si="10"/>
        <v/>
      </c>
      <c r="E29" s="54" t="str">
        <f t="shared" si="11"/>
        <v/>
      </c>
      <c r="F29" s="55" t="str">
        <f>IFERROR(IF(C29&gt;0,VLOOKUP(E29,'Price Lists'!C:D,2,FALSE),""),"")</f>
        <v/>
      </c>
      <c r="G29" s="62"/>
      <c r="H29" s="62"/>
      <c r="I29" s="63">
        <f t="shared" si="12"/>
        <v>0</v>
      </c>
      <c r="J29" s="61" t="str">
        <f t="shared" si="7"/>
        <v/>
      </c>
      <c r="K29" s="61" t="str">
        <f t="shared" si="8"/>
        <v/>
      </c>
      <c r="L29" s="222">
        <f>IFERROR(Sheet1!A32/(1-Moldings!$Z$200),"")</f>
        <v>0</v>
      </c>
      <c r="M29" s="64" t="str">
        <f t="shared" si="13"/>
        <v/>
      </c>
      <c r="N29" s="58">
        <f t="shared" si="3"/>
        <v>0</v>
      </c>
      <c r="O29" s="134"/>
    </row>
    <row r="30" spans="1:15" s="5" customFormat="1" ht="31.5" customHeight="1" x14ac:dyDescent="0.35">
      <c r="A30" s="59"/>
      <c r="B30" s="60" t="str">
        <f t="shared" si="4"/>
        <v/>
      </c>
      <c r="C30" s="60" t="str">
        <f t="shared" si="9"/>
        <v/>
      </c>
      <c r="D30" s="61" t="str">
        <f t="shared" si="10"/>
        <v/>
      </c>
      <c r="E30" s="54" t="str">
        <f t="shared" si="11"/>
        <v/>
      </c>
      <c r="F30" s="55" t="str">
        <f>IFERROR(IF(C30&gt;0,VLOOKUP(E30,'Price Lists'!C:D,2,FALSE),""),"")</f>
        <v/>
      </c>
      <c r="G30" s="62"/>
      <c r="H30" s="62"/>
      <c r="I30" s="63">
        <f t="shared" si="12"/>
        <v>0</v>
      </c>
      <c r="J30" s="61" t="str">
        <f t="shared" si="7"/>
        <v/>
      </c>
      <c r="K30" s="61" t="str">
        <f t="shared" si="8"/>
        <v/>
      </c>
      <c r="L30" s="222">
        <f>IFERROR(Sheet1!A33/(1-Moldings!$Z$200),"")</f>
        <v>0</v>
      </c>
      <c r="M30" s="64" t="str">
        <f t="shared" si="13"/>
        <v/>
      </c>
      <c r="N30" s="58">
        <f t="shared" si="3"/>
        <v>0</v>
      </c>
      <c r="O30" s="134"/>
    </row>
    <row r="31" spans="1:15" s="5" customFormat="1" ht="31.5" customHeight="1" x14ac:dyDescent="0.35">
      <c r="A31" s="59"/>
      <c r="B31" s="60" t="str">
        <f t="shared" si="4"/>
        <v/>
      </c>
      <c r="C31" s="60" t="str">
        <f t="shared" si="9"/>
        <v/>
      </c>
      <c r="D31" s="61" t="str">
        <f t="shared" si="10"/>
        <v/>
      </c>
      <c r="E31" s="54" t="str">
        <f t="shared" si="11"/>
        <v/>
      </c>
      <c r="F31" s="55" t="str">
        <f>IFERROR(IF(C31&gt;0,VLOOKUP(E31,'Price Lists'!C:D,2,FALSE),""),"")</f>
        <v/>
      </c>
      <c r="G31" s="62"/>
      <c r="H31" s="62"/>
      <c r="I31" s="63">
        <f t="shared" si="12"/>
        <v>0</v>
      </c>
      <c r="J31" s="61" t="str">
        <f t="shared" si="7"/>
        <v/>
      </c>
      <c r="K31" s="61" t="str">
        <f t="shared" si="8"/>
        <v/>
      </c>
      <c r="L31" s="222">
        <f>IFERROR(Sheet1!A34/(1-Moldings!$Z$200),"")</f>
        <v>0</v>
      </c>
      <c r="M31" s="64" t="str">
        <f t="shared" si="13"/>
        <v/>
      </c>
      <c r="N31" s="58">
        <f t="shared" si="3"/>
        <v>0</v>
      </c>
      <c r="O31" s="134"/>
    </row>
    <row r="32" spans="1:15" s="5" customFormat="1" ht="31.5" customHeight="1" x14ac:dyDescent="0.35">
      <c r="A32" s="59"/>
      <c r="B32" s="60" t="str">
        <f t="shared" si="4"/>
        <v/>
      </c>
      <c r="C32" s="60" t="str">
        <f t="shared" si="9"/>
        <v/>
      </c>
      <c r="D32" s="61" t="str">
        <f t="shared" si="10"/>
        <v/>
      </c>
      <c r="E32" s="54" t="str">
        <f t="shared" si="11"/>
        <v/>
      </c>
      <c r="F32" s="55" t="str">
        <f>IFERROR(IF(C32&gt;0,VLOOKUP(E32,'Price Lists'!C:D,2,FALSE),""),"")</f>
        <v/>
      </c>
      <c r="G32" s="62"/>
      <c r="H32" s="62"/>
      <c r="I32" s="63">
        <f t="shared" si="12"/>
        <v>0</v>
      </c>
      <c r="J32" s="61" t="str">
        <f t="shared" si="7"/>
        <v/>
      </c>
      <c r="K32" s="61" t="str">
        <f t="shared" si="8"/>
        <v/>
      </c>
      <c r="L32" s="222">
        <f>IFERROR(Sheet1!A35/(1-Moldings!$Z$200),"")</f>
        <v>0</v>
      </c>
      <c r="M32" s="64" t="str">
        <f t="shared" si="13"/>
        <v/>
      </c>
      <c r="N32" s="58">
        <f t="shared" si="3"/>
        <v>0</v>
      </c>
      <c r="O32" s="134"/>
    </row>
    <row r="33" spans="1:15" s="5" customFormat="1" ht="31.5" customHeight="1" x14ac:dyDescent="0.35">
      <c r="A33" s="59"/>
      <c r="B33" s="60" t="str">
        <f t="shared" si="4"/>
        <v/>
      </c>
      <c r="C33" s="60" t="str">
        <f t="shared" si="9"/>
        <v/>
      </c>
      <c r="D33" s="61" t="str">
        <f t="shared" si="10"/>
        <v/>
      </c>
      <c r="E33" s="54" t="str">
        <f t="shared" si="11"/>
        <v/>
      </c>
      <c r="F33" s="55" t="str">
        <f>IFERROR(IF(C33&gt;0,VLOOKUP(E33,'Price Lists'!C:D,2,FALSE),""),"")</f>
        <v/>
      </c>
      <c r="G33" s="62"/>
      <c r="H33" s="62"/>
      <c r="I33" s="63">
        <f t="shared" si="12"/>
        <v>0</v>
      </c>
      <c r="J33" s="61" t="str">
        <f t="shared" si="7"/>
        <v/>
      </c>
      <c r="K33" s="61" t="str">
        <f t="shared" si="8"/>
        <v/>
      </c>
      <c r="L33" s="222">
        <f>IFERROR(Sheet1!A36/(1-Moldings!$Z$200),"")</f>
        <v>0</v>
      </c>
      <c r="M33" s="64" t="str">
        <f t="shared" si="13"/>
        <v/>
      </c>
      <c r="N33" s="58">
        <f t="shared" si="3"/>
        <v>0</v>
      </c>
      <c r="O33" s="134"/>
    </row>
    <row r="34" spans="1:15" s="5" customFormat="1" ht="31.5" customHeight="1" x14ac:dyDescent="0.35">
      <c r="A34" s="59"/>
      <c r="B34" s="60" t="str">
        <f t="shared" si="4"/>
        <v/>
      </c>
      <c r="C34" s="60" t="str">
        <f t="shared" si="9"/>
        <v/>
      </c>
      <c r="D34" s="61" t="str">
        <f t="shared" si="10"/>
        <v/>
      </c>
      <c r="E34" s="54" t="str">
        <f t="shared" si="11"/>
        <v/>
      </c>
      <c r="F34" s="55" t="str">
        <f>IFERROR(IF(C34&gt;0,VLOOKUP(E34,'Price Lists'!C:D,2,FALSE),""),"")</f>
        <v/>
      </c>
      <c r="G34" s="62"/>
      <c r="H34" s="62"/>
      <c r="I34" s="63">
        <f t="shared" si="12"/>
        <v>0</v>
      </c>
      <c r="J34" s="61" t="str">
        <f t="shared" si="7"/>
        <v/>
      </c>
      <c r="K34" s="61" t="str">
        <f t="shared" si="8"/>
        <v/>
      </c>
      <c r="L34" s="222">
        <f>IFERROR(Sheet1!A37/(1-Moldings!$Z$200),"")</f>
        <v>0</v>
      </c>
      <c r="M34" s="64" t="str">
        <f t="shared" si="13"/>
        <v/>
      </c>
      <c r="N34" s="58">
        <f t="shared" si="3"/>
        <v>0</v>
      </c>
      <c r="O34" s="134"/>
    </row>
    <row r="35" spans="1:15" s="5" customFormat="1" ht="31.5" customHeight="1" x14ac:dyDescent="0.35">
      <c r="A35" s="59"/>
      <c r="B35" s="60" t="str">
        <f t="shared" si="4"/>
        <v/>
      </c>
      <c r="C35" s="60" t="str">
        <f t="shared" si="9"/>
        <v/>
      </c>
      <c r="D35" s="61" t="str">
        <f t="shared" si="10"/>
        <v/>
      </c>
      <c r="E35" s="54" t="str">
        <f t="shared" si="11"/>
        <v/>
      </c>
      <c r="F35" s="55" t="str">
        <f>IFERROR(IF(C35&gt;0,VLOOKUP(E35,'Price Lists'!C:D,2,FALSE),""),"")</f>
        <v/>
      </c>
      <c r="G35" s="62"/>
      <c r="H35" s="62"/>
      <c r="I35" s="63">
        <f t="shared" si="12"/>
        <v>0</v>
      </c>
      <c r="J35" s="61" t="str">
        <f t="shared" si="7"/>
        <v/>
      </c>
      <c r="K35" s="61" t="str">
        <f t="shared" si="8"/>
        <v/>
      </c>
      <c r="L35" s="222">
        <f>IFERROR(Sheet1!A38/(1-Moldings!$Z$200),"")</f>
        <v>0</v>
      </c>
      <c r="M35" s="64" t="str">
        <f t="shared" si="13"/>
        <v/>
      </c>
      <c r="N35" s="58">
        <f t="shared" si="3"/>
        <v>0</v>
      </c>
      <c r="O35" s="134"/>
    </row>
    <row r="36" spans="1:15" s="5" customFormat="1" ht="31.5" customHeight="1" x14ac:dyDescent="0.35">
      <c r="A36" s="59"/>
      <c r="B36" s="60" t="str">
        <f t="shared" si="4"/>
        <v/>
      </c>
      <c r="C36" s="60" t="str">
        <f t="shared" si="9"/>
        <v/>
      </c>
      <c r="D36" s="61" t="str">
        <f t="shared" si="10"/>
        <v/>
      </c>
      <c r="E36" s="54" t="str">
        <f t="shared" si="0"/>
        <v/>
      </c>
      <c r="F36" s="55" t="str">
        <f>IFERROR(IF(C36&gt;0,VLOOKUP(E36,'Price Lists'!C:D,2,FALSE),""),"")</f>
        <v/>
      </c>
      <c r="G36" s="62"/>
      <c r="H36" s="62"/>
      <c r="I36" s="63">
        <f t="shared" si="1"/>
        <v>0</v>
      </c>
      <c r="J36" s="61" t="str">
        <f t="shared" si="7"/>
        <v/>
      </c>
      <c r="K36" s="61" t="str">
        <f t="shared" si="8"/>
        <v/>
      </c>
      <c r="L36" s="222">
        <f>IFERROR(Sheet1!A39/(1-Moldings!$Z$200),"")</f>
        <v>0</v>
      </c>
      <c r="M36" s="64" t="str">
        <f t="shared" si="2"/>
        <v/>
      </c>
      <c r="N36" s="58">
        <f t="shared" si="3"/>
        <v>0</v>
      </c>
      <c r="O36" s="134"/>
    </row>
    <row r="37" spans="1:15" s="5" customFormat="1" ht="31.5" customHeight="1" x14ac:dyDescent="0.35">
      <c r="A37" s="59"/>
      <c r="B37" s="60" t="str">
        <f t="shared" si="4"/>
        <v/>
      </c>
      <c r="C37" s="60" t="str">
        <f t="shared" si="9"/>
        <v/>
      </c>
      <c r="D37" s="61" t="str">
        <f t="shared" si="10"/>
        <v/>
      </c>
      <c r="E37" s="54" t="str">
        <f t="shared" si="0"/>
        <v/>
      </c>
      <c r="F37" s="55" t="str">
        <f>IFERROR(IF(C37&gt;0,VLOOKUP(E37,'Price Lists'!C:D,2,FALSE),""),"")</f>
        <v/>
      </c>
      <c r="G37" s="62"/>
      <c r="H37" s="62"/>
      <c r="I37" s="63">
        <f t="shared" si="1"/>
        <v>0</v>
      </c>
      <c r="J37" s="61" t="str">
        <f t="shared" si="7"/>
        <v/>
      </c>
      <c r="K37" s="61" t="str">
        <f t="shared" si="8"/>
        <v/>
      </c>
      <c r="L37" s="222">
        <f>IFERROR(Sheet1!A40/(1-Moldings!$Z$200),"")</f>
        <v>0</v>
      </c>
      <c r="M37" s="64" t="str">
        <f t="shared" si="2"/>
        <v/>
      </c>
      <c r="N37" s="58">
        <f t="shared" si="3"/>
        <v>0</v>
      </c>
      <c r="O37" s="134"/>
    </row>
    <row r="38" spans="1:15" s="5" customFormat="1" ht="31.5" customHeight="1" x14ac:dyDescent="0.35">
      <c r="A38" s="59"/>
      <c r="B38" s="60" t="str">
        <f t="shared" si="4"/>
        <v/>
      </c>
      <c r="C38" s="60" t="str">
        <f t="shared" si="9"/>
        <v/>
      </c>
      <c r="D38" s="61" t="str">
        <f t="shared" si="10"/>
        <v/>
      </c>
      <c r="E38" s="54" t="str">
        <f t="shared" si="0"/>
        <v/>
      </c>
      <c r="F38" s="55" t="str">
        <f>IFERROR(IF(C38&gt;0,VLOOKUP(E38,'Price Lists'!C:D,2,FALSE),""),"")</f>
        <v/>
      </c>
      <c r="G38" s="62"/>
      <c r="H38" s="62"/>
      <c r="I38" s="63">
        <f t="shared" si="1"/>
        <v>0</v>
      </c>
      <c r="J38" s="61" t="str">
        <f t="shared" si="7"/>
        <v/>
      </c>
      <c r="K38" s="61" t="str">
        <f t="shared" si="8"/>
        <v/>
      </c>
      <c r="L38" s="222">
        <f>IFERROR(Sheet1!A41/(1-Moldings!$Z$200),"")</f>
        <v>0</v>
      </c>
      <c r="M38" s="64" t="str">
        <f t="shared" si="2"/>
        <v/>
      </c>
      <c r="N38" s="58">
        <f t="shared" si="3"/>
        <v>0</v>
      </c>
      <c r="O38" s="134"/>
    </row>
    <row r="39" spans="1:15" s="5" customFormat="1" ht="31.5" customHeight="1" x14ac:dyDescent="0.35">
      <c r="A39" s="59"/>
      <c r="B39" s="60" t="str">
        <f t="shared" si="4"/>
        <v/>
      </c>
      <c r="C39" s="60" t="str">
        <f t="shared" si="9"/>
        <v/>
      </c>
      <c r="D39" s="61" t="str">
        <f t="shared" si="10"/>
        <v/>
      </c>
      <c r="E39" s="54" t="str">
        <f t="shared" si="0"/>
        <v/>
      </c>
      <c r="F39" s="55" t="str">
        <f>IFERROR(IF(C39&gt;0,VLOOKUP(E39,'Price Lists'!C:D,2,FALSE),""),"")</f>
        <v/>
      </c>
      <c r="G39" s="62"/>
      <c r="H39" s="62"/>
      <c r="I39" s="63">
        <f t="shared" si="1"/>
        <v>0</v>
      </c>
      <c r="J39" s="61" t="str">
        <f t="shared" si="7"/>
        <v/>
      </c>
      <c r="K39" s="61" t="str">
        <f t="shared" si="8"/>
        <v/>
      </c>
      <c r="L39" s="222">
        <f>IFERROR(Sheet1!A42/(1-Moldings!$Z$200),"")</f>
        <v>0</v>
      </c>
      <c r="M39" s="64" t="str">
        <f t="shared" si="2"/>
        <v/>
      </c>
      <c r="N39" s="58">
        <f t="shared" si="3"/>
        <v>0</v>
      </c>
      <c r="O39" s="134"/>
    </row>
    <row r="40" spans="1:15" s="5" customFormat="1" ht="31.5" customHeight="1" x14ac:dyDescent="0.35">
      <c r="A40" s="59"/>
      <c r="B40" s="60" t="str">
        <f t="shared" si="4"/>
        <v/>
      </c>
      <c r="C40" s="60" t="str">
        <f t="shared" si="9"/>
        <v/>
      </c>
      <c r="D40" s="61" t="str">
        <f t="shared" si="10"/>
        <v/>
      </c>
      <c r="E40" s="54" t="str">
        <f t="shared" si="0"/>
        <v/>
      </c>
      <c r="F40" s="55" t="str">
        <f>IFERROR(IF(C40&gt;0,VLOOKUP(E40,'Price Lists'!C:D,2,FALSE),""),"")</f>
        <v/>
      </c>
      <c r="G40" s="62"/>
      <c r="H40" s="62"/>
      <c r="I40" s="63">
        <f t="shared" si="1"/>
        <v>0</v>
      </c>
      <c r="J40" s="61" t="str">
        <f t="shared" si="7"/>
        <v/>
      </c>
      <c r="K40" s="61" t="str">
        <f t="shared" si="8"/>
        <v/>
      </c>
      <c r="L40" s="222">
        <f>IFERROR(Sheet1!A43/(1-Moldings!$Z$200),"")</f>
        <v>0</v>
      </c>
      <c r="M40" s="64" t="str">
        <f t="shared" si="2"/>
        <v/>
      </c>
      <c r="N40" s="58">
        <f t="shared" si="3"/>
        <v>0</v>
      </c>
      <c r="O40" s="134"/>
    </row>
    <row r="41" spans="1:15" s="5" customFormat="1" ht="31.5" customHeight="1" x14ac:dyDescent="0.35">
      <c r="A41" s="59"/>
      <c r="B41" s="60" t="str">
        <f t="shared" si="4"/>
        <v/>
      </c>
      <c r="C41" s="60" t="str">
        <f t="shared" si="9"/>
        <v/>
      </c>
      <c r="D41" s="61" t="str">
        <f t="shared" si="10"/>
        <v/>
      </c>
      <c r="E41" s="54" t="str">
        <f t="shared" si="0"/>
        <v/>
      </c>
      <c r="F41" s="55" t="str">
        <f>IFERROR(IF(C41&gt;0,VLOOKUP(E41,'Price Lists'!C:D,2,FALSE),""),"")</f>
        <v/>
      </c>
      <c r="G41" s="62"/>
      <c r="H41" s="62"/>
      <c r="I41" s="63">
        <f t="shared" si="1"/>
        <v>0</v>
      </c>
      <c r="J41" s="61" t="str">
        <f t="shared" si="7"/>
        <v/>
      </c>
      <c r="K41" s="61" t="str">
        <f t="shared" si="8"/>
        <v/>
      </c>
      <c r="L41" s="222">
        <f>IFERROR(Sheet1!A44/(1-Moldings!$Z$200),"")</f>
        <v>0</v>
      </c>
      <c r="M41" s="64" t="str">
        <f t="shared" si="2"/>
        <v/>
      </c>
      <c r="N41" s="58">
        <f t="shared" si="3"/>
        <v>0</v>
      </c>
      <c r="O41" s="134"/>
    </row>
    <row r="42" spans="1:15" s="5" customFormat="1" ht="31.5" customHeight="1" x14ac:dyDescent="0.35">
      <c r="A42" s="59"/>
      <c r="B42" s="60" t="str">
        <f t="shared" si="4"/>
        <v/>
      </c>
      <c r="C42" s="60" t="str">
        <f t="shared" si="9"/>
        <v/>
      </c>
      <c r="D42" s="61" t="str">
        <f t="shared" si="10"/>
        <v/>
      </c>
      <c r="E42" s="54" t="str">
        <f t="shared" si="0"/>
        <v/>
      </c>
      <c r="F42" s="55" t="str">
        <f>IFERROR(IF(C42&gt;0,VLOOKUP(E42,'Price Lists'!C:D,2,FALSE),""),"")</f>
        <v/>
      </c>
      <c r="G42" s="62"/>
      <c r="H42" s="62"/>
      <c r="I42" s="63">
        <f t="shared" si="1"/>
        <v>0</v>
      </c>
      <c r="J42" s="61" t="str">
        <f t="shared" si="7"/>
        <v/>
      </c>
      <c r="K42" s="61" t="str">
        <f t="shared" si="8"/>
        <v/>
      </c>
      <c r="L42" s="222">
        <f>IFERROR(Sheet1!A45/(1-Moldings!$Z$200),"")</f>
        <v>0</v>
      </c>
      <c r="M42" s="64" t="str">
        <f t="shared" si="2"/>
        <v/>
      </c>
      <c r="N42" s="58">
        <f t="shared" si="3"/>
        <v>0</v>
      </c>
      <c r="O42" s="134"/>
    </row>
    <row r="43" spans="1:15" s="5" customFormat="1" ht="31.5" customHeight="1" x14ac:dyDescent="0.35">
      <c r="A43" s="59"/>
      <c r="B43" s="60" t="str">
        <f t="shared" si="4"/>
        <v/>
      </c>
      <c r="C43" s="60" t="str">
        <f t="shared" si="9"/>
        <v/>
      </c>
      <c r="D43" s="61" t="str">
        <f t="shared" si="10"/>
        <v/>
      </c>
      <c r="E43" s="54" t="str">
        <f t="shared" si="0"/>
        <v/>
      </c>
      <c r="F43" s="55" t="str">
        <f>IFERROR(IF(C43&gt;0,VLOOKUP(E43,'Price Lists'!C:D,2,FALSE),""),"")</f>
        <v/>
      </c>
      <c r="G43" s="62"/>
      <c r="H43" s="62"/>
      <c r="I43" s="63">
        <f t="shared" si="1"/>
        <v>0</v>
      </c>
      <c r="J43" s="61" t="str">
        <f t="shared" si="7"/>
        <v/>
      </c>
      <c r="K43" s="61" t="str">
        <f t="shared" si="8"/>
        <v/>
      </c>
      <c r="L43" s="222">
        <f>IFERROR(Sheet1!A46/(1-Moldings!$Z$200),"")</f>
        <v>0</v>
      </c>
      <c r="M43" s="64" t="str">
        <f t="shared" si="2"/>
        <v/>
      </c>
      <c r="N43" s="58">
        <f t="shared" si="3"/>
        <v>0</v>
      </c>
      <c r="O43" s="134"/>
    </row>
    <row r="44" spans="1:15" s="5" customFormat="1" ht="31.5" customHeight="1" thickBot="1" x14ac:dyDescent="0.4">
      <c r="A44" s="59"/>
      <c r="B44" s="60" t="str">
        <f t="shared" si="4"/>
        <v/>
      </c>
      <c r="C44" s="60" t="str">
        <f t="shared" si="9"/>
        <v/>
      </c>
      <c r="D44" s="61" t="str">
        <f t="shared" si="10"/>
        <v/>
      </c>
      <c r="E44" s="54" t="str">
        <f t="shared" si="0"/>
        <v/>
      </c>
      <c r="F44" s="55" t="str">
        <f>IFERROR(IF(C44&gt;0,VLOOKUP(E44,'Price Lists'!C:D,2,FALSE),""),"")</f>
        <v/>
      </c>
      <c r="G44" s="62"/>
      <c r="H44" s="62"/>
      <c r="I44" s="63">
        <f t="shared" si="1"/>
        <v>0</v>
      </c>
      <c r="J44" s="61" t="str">
        <f t="shared" si="7"/>
        <v/>
      </c>
      <c r="K44" s="61" t="str">
        <f t="shared" si="8"/>
        <v/>
      </c>
      <c r="L44" s="222">
        <f>IFERROR(Sheet1!A47/(1-Moldings!$Z$200),"")</f>
        <v>0</v>
      </c>
      <c r="M44" s="64" t="str">
        <f t="shared" si="2"/>
        <v/>
      </c>
      <c r="N44" s="58">
        <f t="shared" si="3"/>
        <v>0</v>
      </c>
      <c r="O44" s="134"/>
    </row>
    <row r="45" spans="1:15" s="5" customFormat="1" ht="22.5" customHeight="1" x14ac:dyDescent="0.35">
      <c r="A45" s="256" t="s">
        <v>32</v>
      </c>
      <c r="B45" s="257"/>
      <c r="C45" s="257"/>
      <c r="D45" s="257"/>
      <c r="E45" s="257"/>
      <c r="F45" s="257"/>
      <c r="G45" s="257"/>
      <c r="H45" s="257"/>
      <c r="I45" s="257"/>
      <c r="J45" s="257"/>
      <c r="K45" s="89" t="s">
        <v>138</v>
      </c>
      <c r="L45" s="90"/>
      <c r="M45" s="273">
        <f>SUM(A15:A44)</f>
        <v>0</v>
      </c>
      <c r="N45" s="274"/>
      <c r="O45" s="135"/>
    </row>
    <row r="46" spans="1:15" s="5" customFormat="1" ht="22.5" customHeight="1" x14ac:dyDescent="0.35">
      <c r="A46" s="258"/>
      <c r="B46" s="259"/>
      <c r="C46" s="259"/>
      <c r="D46" s="259"/>
      <c r="E46" s="259"/>
      <c r="F46" s="259"/>
      <c r="G46" s="259"/>
      <c r="H46" s="259"/>
      <c r="I46" s="259"/>
      <c r="J46" s="259"/>
      <c r="K46" s="91" t="s">
        <v>139</v>
      </c>
      <c r="L46" s="92"/>
      <c r="M46" s="241" t="str">
        <f>IF(M45&gt;0,SUM(N15:N44)," ")</f>
        <v xml:space="preserve"> </v>
      </c>
      <c r="N46" s="275"/>
      <c r="O46" s="136"/>
    </row>
    <row r="47" spans="1:15" s="5" customFormat="1" ht="22.5" customHeight="1" thickBot="1" x14ac:dyDescent="0.4">
      <c r="A47" s="258"/>
      <c r="B47" s="259"/>
      <c r="C47" s="259"/>
      <c r="D47" s="259"/>
      <c r="E47" s="259"/>
      <c r="F47" s="259"/>
      <c r="G47" s="259"/>
      <c r="H47" s="259"/>
      <c r="I47" s="259"/>
      <c r="J47" s="259"/>
      <c r="K47" s="93" t="s">
        <v>110</v>
      </c>
      <c r="L47" s="94"/>
      <c r="M47" s="276">
        <f>IF(SUM(Sheet1!D18:D47)&gt;0,25,0)</f>
        <v>0</v>
      </c>
      <c r="N47" s="277"/>
      <c r="O47" s="136"/>
    </row>
    <row r="48" spans="1:15" s="5" customFormat="1" ht="22.5" customHeight="1" thickTop="1" thickBot="1" x14ac:dyDescent="0.4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95" t="s">
        <v>31</v>
      </c>
      <c r="L48" s="96"/>
      <c r="M48" s="237">
        <f>SUM(M46:N47)</f>
        <v>0</v>
      </c>
      <c r="N48" s="278"/>
      <c r="O48" s="136"/>
    </row>
    <row r="49" spans="1:15" ht="16" thickBot="1" x14ac:dyDescent="0.4">
      <c r="A49" s="65"/>
      <c r="B49" s="66"/>
      <c r="C49" s="66"/>
      <c r="D49" s="66"/>
      <c r="E49" s="66"/>
      <c r="F49" s="66"/>
      <c r="G49" s="66"/>
      <c r="H49" s="66"/>
      <c r="I49" s="66"/>
      <c r="J49" s="65"/>
      <c r="K49" s="65"/>
      <c r="L49" s="67"/>
      <c r="M49" s="66"/>
      <c r="N49" s="68"/>
      <c r="O49" s="137"/>
    </row>
    <row r="50" spans="1:15" ht="20.5" thickBot="1" x14ac:dyDescent="0.4">
      <c r="A50" s="249" t="s">
        <v>33</v>
      </c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1"/>
      <c r="O50" s="138"/>
    </row>
    <row r="51" spans="1:15" s="51" customFormat="1" ht="16.5" customHeight="1" thickBot="1" x14ac:dyDescent="0.4">
      <c r="A51" s="151" t="s">
        <v>60</v>
      </c>
      <c r="B51" s="253" t="s">
        <v>6</v>
      </c>
      <c r="C51" s="254"/>
      <c r="D51" s="255"/>
      <c r="E51" s="255"/>
      <c r="F51" s="253" t="s">
        <v>2</v>
      </c>
      <c r="G51" s="254"/>
      <c r="H51" s="254"/>
      <c r="I51" s="254"/>
      <c r="J51" s="254"/>
      <c r="K51" s="253" t="s">
        <v>1</v>
      </c>
      <c r="L51" s="254"/>
      <c r="M51" s="253" t="s">
        <v>0</v>
      </c>
      <c r="N51" s="280"/>
      <c r="O51" s="139"/>
    </row>
    <row r="52" spans="1:15" s="5" customFormat="1" ht="28.5" customHeight="1" x14ac:dyDescent="0.35">
      <c r="A52" s="97"/>
      <c r="B52" s="225"/>
      <c r="C52" s="225"/>
      <c r="D52" s="225"/>
      <c r="E52" s="225"/>
      <c r="F52" s="226"/>
      <c r="G52" s="226"/>
      <c r="H52" s="226"/>
      <c r="I52" s="226"/>
      <c r="J52" s="226"/>
      <c r="K52" s="279" t="str">
        <f>IFERROR(Sheet1!A55/(1-Moldings!$Z$200),"")</f>
        <v/>
      </c>
      <c r="L52" s="279"/>
      <c r="M52" s="279" t="str">
        <f t="shared" ref="M52:M57" si="14">IF(ISERROR(($A52*$K52)),(""),($A52*$K52))</f>
        <v/>
      </c>
      <c r="N52" s="281"/>
      <c r="O52" s="134"/>
    </row>
    <row r="53" spans="1:15" s="5" customFormat="1" ht="28.5" customHeight="1" x14ac:dyDescent="0.35">
      <c r="A53" s="97"/>
      <c r="B53" s="225"/>
      <c r="C53" s="225"/>
      <c r="D53" s="225"/>
      <c r="E53" s="225"/>
      <c r="F53" s="226" t="str">
        <f>IF(A53&lt;&gt;"",F52,"")</f>
        <v/>
      </c>
      <c r="G53" s="226"/>
      <c r="H53" s="226"/>
      <c r="I53" s="226"/>
      <c r="J53" s="226"/>
      <c r="K53" s="227" t="str">
        <f>IFERROR(Sheet1!A56/(1-Moldings!$Z$200),"")</f>
        <v/>
      </c>
      <c r="L53" s="227"/>
      <c r="M53" s="227" t="str">
        <f t="shared" si="14"/>
        <v/>
      </c>
      <c r="N53" s="228"/>
      <c r="O53" s="134"/>
    </row>
    <row r="54" spans="1:15" s="5" customFormat="1" ht="28.5" customHeight="1" x14ac:dyDescent="0.35">
      <c r="A54" s="97"/>
      <c r="B54" s="225"/>
      <c r="C54" s="225"/>
      <c r="D54" s="225"/>
      <c r="E54" s="225"/>
      <c r="F54" s="226" t="str">
        <f>IF(A54&lt;&gt;"",F53,"")</f>
        <v/>
      </c>
      <c r="G54" s="226"/>
      <c r="H54" s="226"/>
      <c r="I54" s="226"/>
      <c r="J54" s="226"/>
      <c r="K54" s="227" t="str">
        <f>IFERROR(Sheet1!A57/(1-Moldings!$Z$200),"")</f>
        <v/>
      </c>
      <c r="L54" s="227"/>
      <c r="M54" s="227" t="str">
        <f t="shared" si="14"/>
        <v/>
      </c>
      <c r="N54" s="228"/>
      <c r="O54" s="134"/>
    </row>
    <row r="55" spans="1:15" s="5" customFormat="1" ht="28.5" customHeight="1" x14ac:dyDescent="0.35">
      <c r="A55" s="97"/>
      <c r="B55" s="225"/>
      <c r="C55" s="225"/>
      <c r="D55" s="225"/>
      <c r="E55" s="225"/>
      <c r="F55" s="226" t="str">
        <f>IF(A55&lt;&gt;"",F54,"")</f>
        <v/>
      </c>
      <c r="G55" s="226"/>
      <c r="H55" s="226"/>
      <c r="I55" s="226"/>
      <c r="J55" s="226"/>
      <c r="K55" s="227" t="str">
        <f>IFERROR(Sheet1!A58/(1-Moldings!$Z$200),"")</f>
        <v/>
      </c>
      <c r="L55" s="227"/>
      <c r="M55" s="227" t="str">
        <f t="shared" si="14"/>
        <v/>
      </c>
      <c r="N55" s="228"/>
      <c r="O55" s="134"/>
    </row>
    <row r="56" spans="1:15" s="5" customFormat="1" ht="28.5" customHeight="1" x14ac:dyDescent="0.35">
      <c r="A56" s="97"/>
      <c r="B56" s="225"/>
      <c r="C56" s="225"/>
      <c r="D56" s="225"/>
      <c r="E56" s="225"/>
      <c r="F56" s="226" t="str">
        <f>IF(A56&lt;&gt;"",F55,"")</f>
        <v/>
      </c>
      <c r="G56" s="226"/>
      <c r="H56" s="226"/>
      <c r="I56" s="226"/>
      <c r="J56" s="226"/>
      <c r="K56" s="227" t="str">
        <f>IFERROR(Sheet1!A59/(1-Moldings!$Z$200),"")</f>
        <v/>
      </c>
      <c r="L56" s="227"/>
      <c r="M56" s="227" t="str">
        <f t="shared" si="14"/>
        <v/>
      </c>
      <c r="N56" s="228"/>
      <c r="O56" s="134"/>
    </row>
    <row r="57" spans="1:15" s="5" customFormat="1" ht="28.25" customHeight="1" x14ac:dyDescent="0.35">
      <c r="A57" s="97"/>
      <c r="B57" s="225"/>
      <c r="C57" s="225"/>
      <c r="D57" s="225"/>
      <c r="E57" s="225"/>
      <c r="F57" s="226" t="str">
        <f>IF(A57&lt;&gt;"",F56,"")</f>
        <v/>
      </c>
      <c r="G57" s="226"/>
      <c r="H57" s="226"/>
      <c r="I57" s="226"/>
      <c r="J57" s="226"/>
      <c r="K57" s="227" t="str">
        <f>IFERROR(Sheet1!A60/(1-Moldings!$Z$200),"")</f>
        <v/>
      </c>
      <c r="L57" s="227"/>
      <c r="M57" s="227" t="str">
        <f t="shared" si="14"/>
        <v/>
      </c>
      <c r="N57" s="228"/>
      <c r="O57" s="134"/>
    </row>
    <row r="58" spans="1:15" ht="5.25" customHeight="1" thickBot="1" x14ac:dyDescent="0.4">
      <c r="A58" s="7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152"/>
      <c r="O58" s="140"/>
    </row>
    <row r="59" spans="1:15" ht="22.5" customHeight="1" x14ac:dyDescent="0.35">
      <c r="A59" s="99" t="s">
        <v>1463</v>
      </c>
      <c r="B59" s="100"/>
      <c r="C59" s="100"/>
      <c r="D59" s="100"/>
      <c r="E59" s="100"/>
      <c r="F59" s="100"/>
      <c r="G59" s="100"/>
      <c r="H59" s="100"/>
      <c r="I59" s="100"/>
      <c r="J59" s="101"/>
      <c r="K59" s="252" t="s">
        <v>146</v>
      </c>
      <c r="L59" s="252"/>
      <c r="M59" s="247">
        <f>SUM(A52:A57)</f>
        <v>0</v>
      </c>
      <c r="N59" s="248"/>
      <c r="O59" s="135"/>
    </row>
    <row r="60" spans="1:15" ht="22.5" customHeight="1" x14ac:dyDescent="0.35">
      <c r="A60" s="102"/>
      <c r="B60" s="103"/>
      <c r="C60" s="103"/>
      <c r="D60" s="103"/>
      <c r="E60" s="103"/>
      <c r="F60" s="103"/>
      <c r="G60" s="103"/>
      <c r="H60" s="103"/>
      <c r="I60" s="103"/>
      <c r="J60" s="104"/>
      <c r="K60" s="239" t="s">
        <v>34</v>
      </c>
      <c r="L60" s="240"/>
      <c r="M60" s="241" t="str">
        <f>IF(M59&gt;0,SUM(M52:N57),"")</f>
        <v/>
      </c>
      <c r="N60" s="242"/>
      <c r="O60" s="141"/>
    </row>
    <row r="61" spans="1:15" ht="22.5" customHeight="1" x14ac:dyDescent="0.35">
      <c r="A61" s="102"/>
      <c r="B61" s="103"/>
      <c r="C61" s="103"/>
      <c r="D61" s="103"/>
      <c r="E61" s="103"/>
      <c r="F61" s="103"/>
      <c r="G61" s="103"/>
      <c r="H61" s="103"/>
      <c r="I61" s="103"/>
      <c r="J61" s="104"/>
      <c r="K61" s="239" t="str">
        <f>K48</f>
        <v>TOTAL $ DOORS</v>
      </c>
      <c r="L61" s="240"/>
      <c r="M61" s="241">
        <f>M48</f>
        <v>0</v>
      </c>
      <c r="N61" s="242"/>
      <c r="O61" s="141"/>
    </row>
    <row r="62" spans="1:15" ht="22.5" customHeight="1" x14ac:dyDescent="0.35">
      <c r="A62" s="102"/>
      <c r="B62" s="103"/>
      <c r="C62" s="103"/>
      <c r="D62" s="103"/>
      <c r="E62" s="103"/>
      <c r="F62" s="103"/>
      <c r="G62" s="103"/>
      <c r="H62" s="103"/>
      <c r="I62" s="103"/>
      <c r="J62" s="104"/>
      <c r="K62" s="212" t="s">
        <v>1455</v>
      </c>
      <c r="L62" s="213"/>
      <c r="M62" s="233">
        <v>30</v>
      </c>
      <c r="N62" s="234"/>
      <c r="O62" s="141"/>
    </row>
    <row r="63" spans="1:15" ht="22.5" customHeight="1" thickBot="1" x14ac:dyDescent="0.4">
      <c r="A63" s="102"/>
      <c r="B63" s="103"/>
      <c r="C63" s="103"/>
      <c r="D63" s="103"/>
      <c r="E63" s="103"/>
      <c r="F63" s="103"/>
      <c r="G63" s="103"/>
      <c r="H63" s="103"/>
      <c r="I63" s="103"/>
      <c r="J63" s="104"/>
      <c r="K63" s="231" t="s">
        <v>147</v>
      </c>
      <c r="L63" s="232"/>
      <c r="M63" s="229">
        <v>0</v>
      </c>
      <c r="N63" s="230"/>
      <c r="O63" s="142"/>
    </row>
    <row r="64" spans="1:15" ht="22.5" customHeight="1" thickTop="1" thickBot="1" x14ac:dyDescent="0.4">
      <c r="A64" s="106" t="s">
        <v>142</v>
      </c>
      <c r="B64" s="105"/>
      <c r="C64" s="105"/>
      <c r="D64" s="105"/>
      <c r="E64" s="105"/>
      <c r="F64" s="105"/>
      <c r="G64" s="105"/>
      <c r="H64" s="105" t="s">
        <v>143</v>
      </c>
      <c r="I64" s="235"/>
      <c r="J64" s="236"/>
      <c r="K64" s="243" t="s">
        <v>35</v>
      </c>
      <c r="L64" s="244"/>
      <c r="M64" s="237">
        <f>SUM(M60:N63)</f>
        <v>30</v>
      </c>
      <c r="N64" s="238"/>
      <c r="O64" s="141"/>
    </row>
    <row r="66" spans="12:13" x14ac:dyDescent="0.35">
      <c r="L66" s="47"/>
      <c r="M66" s="166">
        <f>Doors!Z100</f>
        <v>3</v>
      </c>
    </row>
  </sheetData>
  <sheetProtection selectLockedCells="1"/>
  <dataConsolidate/>
  <mergeCells count="69">
    <mergeCell ref="A11:M11"/>
    <mergeCell ref="M45:N45"/>
    <mergeCell ref="F51:J51"/>
    <mergeCell ref="F52:J52"/>
    <mergeCell ref="K51:L51"/>
    <mergeCell ref="M46:N46"/>
    <mergeCell ref="M47:N47"/>
    <mergeCell ref="M48:N48"/>
    <mergeCell ref="K52:L52"/>
    <mergeCell ref="M51:N51"/>
    <mergeCell ref="M52:N52"/>
    <mergeCell ref="B12:N12"/>
    <mergeCell ref="A8:B8"/>
    <mergeCell ref="A9:B9"/>
    <mergeCell ref="A3:B3"/>
    <mergeCell ref="A4:B4"/>
    <mergeCell ref="A5:B5"/>
    <mergeCell ref="A6:B6"/>
    <mergeCell ref="A7:B7"/>
    <mergeCell ref="K8:M8"/>
    <mergeCell ref="K9:M9"/>
    <mergeCell ref="H5:J5"/>
    <mergeCell ref="K7:M7"/>
    <mergeCell ref="C3:F3"/>
    <mergeCell ref="C4:F4"/>
    <mergeCell ref="C5:F5"/>
    <mergeCell ref="C6:F6"/>
    <mergeCell ref="C7:F7"/>
    <mergeCell ref="C8:F8"/>
    <mergeCell ref="C9:F9"/>
    <mergeCell ref="H3:J3"/>
    <mergeCell ref="H4:J4"/>
    <mergeCell ref="A10:M10"/>
    <mergeCell ref="M59:N59"/>
    <mergeCell ref="M60:N60"/>
    <mergeCell ref="A50:N50"/>
    <mergeCell ref="K59:L59"/>
    <mergeCell ref="K60:L60"/>
    <mergeCell ref="K57:L57"/>
    <mergeCell ref="B57:E57"/>
    <mergeCell ref="K56:L56"/>
    <mergeCell ref="F56:J56"/>
    <mergeCell ref="K55:L55"/>
    <mergeCell ref="B52:E52"/>
    <mergeCell ref="B51:E51"/>
    <mergeCell ref="A45:J48"/>
    <mergeCell ref="F57:J57"/>
    <mergeCell ref="K53:L53"/>
    <mergeCell ref="I64:J64"/>
    <mergeCell ref="M64:N64"/>
    <mergeCell ref="K61:L61"/>
    <mergeCell ref="M61:N61"/>
    <mergeCell ref="K64:L64"/>
    <mergeCell ref="M57:N57"/>
    <mergeCell ref="M63:N63"/>
    <mergeCell ref="M53:N53"/>
    <mergeCell ref="K63:L63"/>
    <mergeCell ref="K54:L54"/>
    <mergeCell ref="M54:N54"/>
    <mergeCell ref="M55:N55"/>
    <mergeCell ref="M56:N56"/>
    <mergeCell ref="M62:N62"/>
    <mergeCell ref="B56:E56"/>
    <mergeCell ref="B53:E53"/>
    <mergeCell ref="B54:E54"/>
    <mergeCell ref="B55:E55"/>
    <mergeCell ref="F53:J53"/>
    <mergeCell ref="F55:J55"/>
    <mergeCell ref="F54:J54"/>
  </mergeCells>
  <conditionalFormatting sqref="M17:M25 M36:M44">
    <cfRule type="cellIs" dxfId="6" priority="10" stopIfTrue="1" operator="equal">
      <formula>FALSE</formula>
    </cfRule>
  </conditionalFormatting>
  <conditionalFormatting sqref="M16">
    <cfRule type="cellIs" dxfId="5" priority="2" stopIfTrue="1" operator="equal">
      <formula>FALSE</formula>
    </cfRule>
  </conditionalFormatting>
  <conditionalFormatting sqref="M26:M35">
    <cfRule type="cellIs" dxfId="4" priority="1" stopIfTrue="1" operator="equal">
      <formula>FALSE</formula>
    </cfRule>
  </conditionalFormatting>
  <dataValidations count="7">
    <dataValidation type="list" allowBlank="1" showInputMessage="1" showErrorMessage="1" sqref="WUF52:WUF57 WKJ52:WKJ57 WAN52:WAN57 VQR52:VQR57 VGV52:VGV57 UWZ52:UWZ57 UND52:UND57 UDH52:UDH57 TTL52:TTL57 TJP52:TJP57 SZT52:SZT57 SPX52:SPX57 SGB52:SGB57 RWF52:RWF57 RMJ52:RMJ57 RCN52:RCN57 QSR52:QSR57 QIV52:QIV57 PYZ52:PYZ57 PPD52:PPD57 PFH52:PFH57 OVL52:OVL57 OLP52:OLP57 OBT52:OBT57 NRX52:NRX57 NIB52:NIB57 MYF52:MYF57 MOJ52:MOJ57 MEN52:MEN57 LUR52:LUR57 LKV52:LKV57 LAZ52:LAZ57 KRD52:KRD57 KHH52:KHH57 JXL52:JXL57 JNP52:JNP57 JDT52:JDT57 ITX52:ITX57 IKB52:IKB57 IAF52:IAF57 HQJ52:HQJ57 HGN52:HGN57 GWR52:GWR57 GMV52:GMV57 GCZ52:GCZ57 FTD52:FTD57 FJH52:FJH57 EZL52:EZL57 EPP52:EPP57 EFT52:EFT57 DVX52:DVX57 DMB52:DMB57 DCF52:DCF57 CSJ52:CSJ57 CIN52:CIN57 BYR52:BYR57 BOV52:BOV57 BEZ52:BEZ57 AVD52:AVD57 ALH52:ALH57 ABL52:ABL57 RP52:RP57 HT52:HT57 WUD15:WUD44 WUF45:WUF48 WKH15:WKH44 WKJ45:WKJ48 WAL15:WAL44 WAN45:WAN48 VQP15:VQP44 VQR45:VQR48 VGT15:VGT44 VGV45:VGV48 UWX15:UWX44 UWZ45:UWZ48 UNB15:UNB44 UND45:UND48 UDF15:UDF44 UDH45:UDH48 TTJ15:TTJ44 TTL45:TTL48 TJN15:TJN44 TJP45:TJP48 SZR15:SZR44 SZT45:SZT48 SPV15:SPV44 SPX45:SPX48 SFZ15:SFZ44 SGB45:SGB48 RWD15:RWD44 RWF45:RWF48 RMH15:RMH44 RMJ45:RMJ48 RCL15:RCL44 RCN45:RCN48 QSP15:QSP44 QSR45:QSR48 QIT15:QIT44 QIV45:QIV48 PYX15:PYX44 PYZ45:PYZ48 PPB15:PPB44 PPD45:PPD48 PFF15:PFF44 PFH45:PFH48 OVJ15:OVJ44 OVL45:OVL48 OLN15:OLN44 OLP45:OLP48 OBR15:OBR44 OBT45:OBT48 NRV15:NRV44 NRX45:NRX48 NHZ15:NHZ44 NIB45:NIB48 MYD15:MYD44 MYF45:MYF48 MOH15:MOH44 MOJ45:MOJ48 MEL15:MEL44 MEN45:MEN48 LUP15:LUP44 LUR45:LUR48 LKT15:LKT44 LKV45:LKV48 LAX15:LAX44 LAZ45:LAZ48 KRB15:KRB44 KRD45:KRD48 KHF15:KHF44 KHH45:KHH48 JXJ15:JXJ44 JXL45:JXL48 JNN15:JNN44 JNP45:JNP48 JDR15:JDR44 JDT45:JDT48 ITV15:ITV44 ITX45:ITX48 IJZ15:IJZ44 IKB45:IKB48 IAD15:IAD44 IAF45:IAF48 HQH15:HQH44 HQJ45:HQJ48 HGL15:HGL44 HGN45:HGN48 GWP15:GWP44 GWR45:GWR48 GMT15:GMT44 GMV45:GMV48 GCX15:GCX44 GCZ45:GCZ48 FTB15:FTB44 FTD45:FTD48 FJF15:FJF44 FJH45:FJH48 EZJ15:EZJ44 EZL45:EZL48 EPN15:EPN44 EPP45:EPP48 EFR15:EFR44 EFT45:EFT48 DVV15:DVV44 DVX45:DVX48 DLZ15:DLZ44 DMB45:DMB48 DCD15:DCD44 DCF45:DCF48 CSH15:CSH44 CSJ45:CSJ48 CIL15:CIL44 CIN45:CIN48 BYP15:BYP44 BYR45:BYR48 BOT15:BOT44 BOV45:BOV48 BEX15:BEX44 BEZ45:BEZ48 AVB15:AVB44 AVD45:AVD48 ALF15:ALF44 ALH45:ALH48 ABJ15:ABJ44 ABL45:ABL48 RN15:RN44 RP45:RP48 HR15:HR44 HT45:HT48" xr:uid="{00000000-0002-0000-0000-000000000000}">
      <formula1>INDIRECT(SUBSTITUTE(HV15&amp;HQ15," ",""))</formula1>
    </dataValidation>
    <dataValidation type="list" allowBlank="1" showInputMessage="1" showErrorMessage="1" sqref="HS52:HS57 WUE52:WUE57 WKI52:WKI57 WAM52:WAM57 VQQ52:VQQ57 VGU52:VGU57 UWY52:UWY57 UNC52:UNC57 UDG52:UDG57 TTK52:TTK57 TJO52:TJO57 SZS52:SZS57 SPW52:SPW57 SGA52:SGA57 RWE52:RWE57 RMI52:RMI57 RCM52:RCM57 QSQ52:QSQ57 QIU52:QIU57 PYY52:PYY57 PPC52:PPC57 PFG52:PFG57 OVK52:OVK57 OLO52:OLO57 OBS52:OBS57 NRW52:NRW57 NIA52:NIA57 MYE52:MYE57 MOI52:MOI57 MEM52:MEM57 LUQ52:LUQ57 LKU52:LKU57 LAY52:LAY57 KRC52:KRC57 KHG52:KHG57 JXK52:JXK57 JNO52:JNO57 JDS52:JDS57 ITW52:ITW57 IKA52:IKA57 IAE52:IAE57 HQI52:HQI57 HGM52:HGM57 GWQ52:GWQ57 GMU52:GMU57 GCY52:GCY57 FTC52:FTC57 FJG52:FJG57 EZK52:EZK57 EPO52:EPO57 EFS52:EFS57 DVW52:DVW57 DMA52:DMA57 DCE52:DCE57 CSI52:CSI57 CIM52:CIM57 BYQ52:BYQ57 BOU52:BOU57 BEY52:BEY57 AVC52:AVC57 ALG52:ALG57 ABK52:ABK57 RO52:RO57 HQ15:HQ44 HS45:HS48 WUC15:WUC44 WUE45:WUE48 WKG15:WKG44 WKI45:WKI48 WAK15:WAK44 WAM45:WAM48 VQO15:VQO44 VQQ45:VQQ48 VGS15:VGS44 VGU45:VGU48 UWW15:UWW44 UWY45:UWY48 UNA15:UNA44 UNC45:UNC48 UDE15:UDE44 UDG45:UDG48 TTI15:TTI44 TTK45:TTK48 TJM15:TJM44 TJO45:TJO48 SZQ15:SZQ44 SZS45:SZS48 SPU15:SPU44 SPW45:SPW48 SFY15:SFY44 SGA45:SGA48 RWC15:RWC44 RWE45:RWE48 RMG15:RMG44 RMI45:RMI48 RCK15:RCK44 RCM45:RCM48 QSO15:QSO44 QSQ45:QSQ48 QIS15:QIS44 QIU45:QIU48 PYW15:PYW44 PYY45:PYY48 PPA15:PPA44 PPC45:PPC48 PFE15:PFE44 PFG45:PFG48 OVI15:OVI44 OVK45:OVK48 OLM15:OLM44 OLO45:OLO48 OBQ15:OBQ44 OBS45:OBS48 NRU15:NRU44 NRW45:NRW48 NHY15:NHY44 NIA45:NIA48 MYC15:MYC44 MYE45:MYE48 MOG15:MOG44 MOI45:MOI48 MEK15:MEK44 MEM45:MEM48 LUO15:LUO44 LUQ45:LUQ48 LKS15:LKS44 LKU45:LKU48 LAW15:LAW44 LAY45:LAY48 KRA15:KRA44 KRC45:KRC48 KHE15:KHE44 KHG45:KHG48 JXI15:JXI44 JXK45:JXK48 JNM15:JNM44 JNO45:JNO48 JDQ15:JDQ44 JDS45:JDS48 ITU15:ITU44 ITW45:ITW48 IJY15:IJY44 IKA45:IKA48 IAC15:IAC44 IAE45:IAE48 HQG15:HQG44 HQI45:HQI48 HGK15:HGK44 HGM45:HGM48 GWO15:GWO44 GWQ45:GWQ48 GMS15:GMS44 GMU45:GMU48 GCW15:GCW44 GCY45:GCY48 FTA15:FTA44 FTC45:FTC48 FJE15:FJE44 FJG45:FJG48 EZI15:EZI44 EZK45:EZK48 EPM15:EPM44 EPO45:EPO48 EFQ15:EFQ44 EFS45:EFS48 DVU15:DVU44 DVW45:DVW48 DLY15:DLY44 DMA45:DMA48 DCC15:DCC44 DCE45:DCE48 CSG15:CSG44 CSI45:CSI48 CIK15:CIK44 CIM45:CIM48 BYO15:BYO44 BYQ45:BYQ48 BOS15:BOS44 BOU45:BOU48 BEW15:BEW44 BEY45:BEY48 AVA15:AVA44 AVC45:AVC48 ALE15:ALE44 ALG45:ALG48 ABI15:ABI44 ABK45:ABK48 RM15:RM44 RO45:RO48" xr:uid="{00000000-0002-0000-0000-000001000000}">
      <formula1>PANEL</formula1>
    </dataValidation>
    <dataValidation type="list" allowBlank="1" showInputMessage="1" showErrorMessage="1" sqref="HP52:HP57 WUB52:WUB57 WKF52:WKF57 WAJ52:WAJ57 VQN52:VQN57 VGR52:VGR57 UWV52:UWV57 UMZ52:UMZ57 UDD52:UDD57 TTH52:TTH57 TJL52:TJL57 SZP52:SZP57 SPT52:SPT57 SFX52:SFX57 RWB52:RWB57 RMF52:RMF57 RCJ52:RCJ57 QSN52:QSN57 QIR52:QIR57 PYV52:PYV57 POZ52:POZ57 PFD52:PFD57 OVH52:OVH57 OLL52:OLL57 OBP52:OBP57 NRT52:NRT57 NHX52:NHX57 MYB52:MYB57 MOF52:MOF57 MEJ52:MEJ57 LUN52:LUN57 LKR52:LKR57 LAV52:LAV57 KQZ52:KQZ57 KHD52:KHD57 JXH52:JXH57 JNL52:JNL57 JDP52:JDP57 ITT52:ITT57 IJX52:IJX57 IAB52:IAB57 HQF52:HQF57 HGJ52:HGJ57 GWN52:GWN57 GMR52:GMR57 GCV52:GCV57 FSZ52:FSZ57 FJD52:FJD57 EZH52:EZH57 EPL52:EPL57 EFP52:EFP57 DVT52:DVT57 DLX52:DLX57 DCB52:DCB57 CSF52:CSF57 CIJ52:CIJ57 BYN52:BYN57 BOR52:BOR57 BEV52:BEV57 AUZ52:AUZ57 ALD52:ALD57 ABH52:ABH57 RL52:RL57 HN15:HN44 HP45:HP48 WTZ15:WTZ44 WUB45:WUB48 WKD15:WKD44 WKF45:WKF48 WAH15:WAH44 WAJ45:WAJ48 VQL15:VQL44 VQN45:VQN48 VGP15:VGP44 VGR45:VGR48 UWT15:UWT44 UWV45:UWV48 UMX15:UMX44 UMZ45:UMZ48 UDB15:UDB44 UDD45:UDD48 TTF15:TTF44 TTH45:TTH48 TJJ15:TJJ44 TJL45:TJL48 SZN15:SZN44 SZP45:SZP48 SPR15:SPR44 SPT45:SPT48 SFV15:SFV44 SFX45:SFX48 RVZ15:RVZ44 RWB45:RWB48 RMD15:RMD44 RMF45:RMF48 RCH15:RCH44 RCJ45:RCJ48 QSL15:QSL44 QSN45:QSN48 QIP15:QIP44 QIR45:QIR48 PYT15:PYT44 PYV45:PYV48 POX15:POX44 POZ45:POZ48 PFB15:PFB44 PFD45:PFD48 OVF15:OVF44 OVH45:OVH48 OLJ15:OLJ44 OLL45:OLL48 OBN15:OBN44 OBP45:OBP48 NRR15:NRR44 NRT45:NRT48 NHV15:NHV44 NHX45:NHX48 MXZ15:MXZ44 MYB45:MYB48 MOD15:MOD44 MOF45:MOF48 MEH15:MEH44 MEJ45:MEJ48 LUL15:LUL44 LUN45:LUN48 LKP15:LKP44 LKR45:LKR48 LAT15:LAT44 LAV45:LAV48 KQX15:KQX44 KQZ45:KQZ48 KHB15:KHB44 KHD45:KHD48 JXF15:JXF44 JXH45:JXH48 JNJ15:JNJ44 JNL45:JNL48 JDN15:JDN44 JDP45:JDP48 ITR15:ITR44 ITT45:ITT48 IJV15:IJV44 IJX45:IJX48 HZZ15:HZZ44 IAB45:IAB48 HQD15:HQD44 HQF45:HQF48 HGH15:HGH44 HGJ45:HGJ48 GWL15:GWL44 GWN45:GWN48 GMP15:GMP44 GMR45:GMR48 GCT15:GCT44 GCV45:GCV48 FSX15:FSX44 FSZ45:FSZ48 FJB15:FJB44 FJD45:FJD48 EZF15:EZF44 EZH45:EZH48 EPJ15:EPJ44 EPL45:EPL48 EFN15:EFN44 EFP45:EFP48 DVR15:DVR44 DVT45:DVT48 DLV15:DLV44 DLX45:DLX48 DBZ15:DBZ44 DCB45:DCB48 CSD15:CSD44 CSF45:CSF48 CIH15:CIH44 CIJ45:CIJ48 BYL15:BYL44 BYN45:BYN48 BOP15:BOP44 BOR45:BOR48 BET15:BET44 BEV45:BEV48 AUX15:AUX44 AUZ45:AUZ48 ALB15:ALB44 ALD45:ALD48 ABF15:ABF44 ABH45:ABH48 RJ15:RJ44 RL45:RL48" xr:uid="{00000000-0002-0000-0000-000002000000}">
      <formula1>ColorList</formula1>
    </dataValidation>
    <dataValidation type="list" allowBlank="1" showInputMessage="1" showErrorMessage="1" sqref="RM52:RM57 HQ52:HQ57 WUC52:WUC57 WKG52:WKG57 WAK52:WAK57 VQO52:VQO57 VGS52:VGS57 UWW52:UWW57 UNA52:UNA57 UDE52:UDE57 TTI52:TTI57 TJM52:TJM57 SZQ52:SZQ57 SPU52:SPU57 SFY52:SFY57 RWC52:RWC57 RMG52:RMG57 RCK52:RCK57 QSO52:QSO57 QIS52:QIS57 PYW52:PYW57 PPA52:PPA57 PFE52:PFE57 OVI52:OVI57 OLM52:OLM57 OBQ52:OBQ57 NRU52:NRU57 NHY52:NHY57 MYC52:MYC57 MOG52:MOG57 MEK52:MEK57 LUO52:LUO57 LKS52:LKS57 LAW52:LAW57 KRA52:KRA57 KHE52:KHE57 JXI52:JXI57 JNM52:JNM57 JDQ52:JDQ57 ITU52:ITU57 IJY52:IJY57 IAC52:IAC57 HQG52:HQG57 HGK52:HGK57 GWO52:GWO57 GMS52:GMS57 GCW52:GCW57 FTA52:FTA57 FJE52:FJE57 EZI52:EZI57 EPM52:EPM57 EFQ52:EFQ57 DVU52:DVU57 DLY52:DLY57 DCC52:DCC57 CSG52:CSG57 CIK52:CIK57 BYO52:BYO57 BOS52:BOS57 BEW52:BEW57 AVA52:AVA57 ALE52:ALE57 ABI52:ABI57 RM45:RM48 HO15:HO44 HQ45:HQ48 WUA15:WUA44 WUC45:WUC48 WKE15:WKE44 WKG45:WKG48 WAI15:WAI44 WAK45:WAK48 VQM15:VQM44 VQO45:VQO48 VGQ15:VGQ44 VGS45:VGS48 UWU15:UWU44 UWW45:UWW48 UMY15:UMY44 UNA45:UNA48 UDC15:UDC44 UDE45:UDE48 TTG15:TTG44 TTI45:TTI48 TJK15:TJK44 TJM45:TJM48 SZO15:SZO44 SZQ45:SZQ48 SPS15:SPS44 SPU45:SPU48 SFW15:SFW44 SFY45:SFY48 RWA15:RWA44 RWC45:RWC48 RME15:RME44 RMG45:RMG48 RCI15:RCI44 RCK45:RCK48 QSM15:QSM44 QSO45:QSO48 QIQ15:QIQ44 QIS45:QIS48 PYU15:PYU44 PYW45:PYW48 POY15:POY44 PPA45:PPA48 PFC15:PFC44 PFE45:PFE48 OVG15:OVG44 OVI45:OVI48 OLK15:OLK44 OLM45:OLM48 OBO15:OBO44 OBQ45:OBQ48 NRS15:NRS44 NRU45:NRU48 NHW15:NHW44 NHY45:NHY48 MYA15:MYA44 MYC45:MYC48 MOE15:MOE44 MOG45:MOG48 MEI15:MEI44 MEK45:MEK48 LUM15:LUM44 LUO45:LUO48 LKQ15:LKQ44 LKS45:LKS48 LAU15:LAU44 LAW45:LAW48 KQY15:KQY44 KRA45:KRA48 KHC15:KHC44 KHE45:KHE48 JXG15:JXG44 JXI45:JXI48 JNK15:JNK44 JNM45:JNM48 JDO15:JDO44 JDQ45:JDQ48 ITS15:ITS44 ITU45:ITU48 IJW15:IJW44 IJY45:IJY48 IAA15:IAA44 IAC45:IAC48 HQE15:HQE44 HQG45:HQG48 HGI15:HGI44 HGK45:HGK48 GWM15:GWM44 GWO45:GWO48 GMQ15:GMQ44 GMS45:GMS48 GCU15:GCU44 GCW45:GCW48 FSY15:FSY44 FTA45:FTA48 FJC15:FJC44 FJE45:FJE48 EZG15:EZG44 EZI45:EZI48 EPK15:EPK44 EPM45:EPM48 EFO15:EFO44 EFQ45:EFQ48 DVS15:DVS44 DVU45:DVU48 DLW15:DLW44 DLY45:DLY48 DCA15:DCA44 DCC45:DCC48 CSE15:CSE44 CSG45:CSG48 CII15:CII44 CIK45:CIK48 BYM15:BYM44 BYO45:BYO48 BOQ15:BOQ44 BOS45:BOS48 BEU15:BEU44 BEW45:BEW48 AUY15:AUY44 AVA45:AVA48 ALC15:ALC44 ALE45:ALE48 ABG15:ABG44 ABI45:ABI48 RK15:RK44 D15:D44" xr:uid="{00000000-0002-0000-0000-000003000000}">
      <formula1>INDIRECT(SUBSTITUTE(C15," ",""))</formula1>
    </dataValidation>
    <dataValidation type="list" allowBlank="1" showInputMessage="1" showErrorMessage="1" sqref="HR52:HR57 WUD52:WUD57 WKH52:WKH57 WAL52:WAL57 VQP52:VQP57 VGT52:VGT57 UWX52:UWX57 UNB52:UNB57 UDF52:UDF57 TTJ52:TTJ57 TJN52:TJN57 SZR52:SZR57 SPV52:SPV57 SFZ52:SFZ57 RWD52:RWD57 RMH52:RMH57 RCL52:RCL57 QSP52:QSP57 QIT52:QIT57 PYX52:PYX57 PPB52:PPB57 PFF52:PFF57 OVJ52:OVJ57 OLN52:OLN57 OBR52:OBR57 NRV52:NRV57 NHZ52:NHZ57 MYD52:MYD57 MOH52:MOH57 MEL52:MEL57 LUP52:LUP57 LKT52:LKT57 LAX52:LAX57 KRB52:KRB57 KHF52:KHF57 JXJ52:JXJ57 JNN52:JNN57 JDR52:JDR57 ITV52:ITV57 IJZ52:IJZ57 IAD52:IAD57 HQH52:HQH57 HGL52:HGL57 GWP52:GWP57 GMT52:GMT57 GCX52:GCX57 FTB52:FTB57 FJF52:FJF57 EZJ52:EZJ57 EPN52:EPN57 EFR52:EFR57 DVV52:DVV57 DLZ52:DLZ57 DCD52:DCD57 CSH52:CSH57 CIL52:CIL57 BYP52:BYP57 BOT52:BOT57 BEX52:BEX57 AVB52:AVB57 ALF52:ALF57 ABJ52:ABJ57 RN52:RN57 HP15:HP44 HR45:HR48 WUB15:WUB44 WUD45:WUD48 WKF15:WKF44 WKH45:WKH48 WAJ15:WAJ44 WAL45:WAL48 VQN15:VQN44 VQP45:VQP48 VGR15:VGR44 VGT45:VGT48 UWV15:UWV44 UWX45:UWX48 UMZ15:UMZ44 UNB45:UNB48 UDD15:UDD44 UDF45:UDF48 TTH15:TTH44 TTJ45:TTJ48 TJL15:TJL44 TJN45:TJN48 SZP15:SZP44 SZR45:SZR48 SPT15:SPT44 SPV45:SPV48 SFX15:SFX44 SFZ45:SFZ48 RWB15:RWB44 RWD45:RWD48 RMF15:RMF44 RMH45:RMH48 RCJ15:RCJ44 RCL45:RCL48 QSN15:QSN44 QSP45:QSP48 QIR15:QIR44 QIT45:QIT48 PYV15:PYV44 PYX45:PYX48 POZ15:POZ44 PPB45:PPB48 PFD15:PFD44 PFF45:PFF48 OVH15:OVH44 OVJ45:OVJ48 OLL15:OLL44 OLN45:OLN48 OBP15:OBP44 OBR45:OBR48 NRT15:NRT44 NRV45:NRV48 NHX15:NHX44 NHZ45:NHZ48 MYB15:MYB44 MYD45:MYD48 MOF15:MOF44 MOH45:MOH48 MEJ15:MEJ44 MEL45:MEL48 LUN15:LUN44 LUP45:LUP48 LKR15:LKR44 LKT45:LKT48 LAV15:LAV44 LAX45:LAX48 KQZ15:KQZ44 KRB45:KRB48 KHD15:KHD44 KHF45:KHF48 JXH15:JXH44 JXJ45:JXJ48 JNL15:JNL44 JNN45:JNN48 JDP15:JDP44 JDR45:JDR48 ITT15:ITT44 ITV45:ITV48 IJX15:IJX44 IJZ45:IJZ48 IAB15:IAB44 IAD45:IAD48 HQF15:HQF44 HQH45:HQH48 HGJ15:HGJ44 HGL45:HGL48 GWN15:GWN44 GWP45:GWP48 GMR15:GMR44 GMT45:GMT48 GCV15:GCV44 GCX45:GCX48 FSZ15:FSZ44 FTB45:FTB48 FJD15:FJD44 FJF45:FJF48 EZH15:EZH44 EZJ45:EZJ48 EPL15:EPL44 EPN45:EPN48 EFP15:EFP44 EFR45:EFR48 DVT15:DVT44 DVV45:DVV48 DLX15:DLX44 DLZ45:DLZ48 DCB15:DCB44 DCD45:DCD48 CSF15:CSF44 CSH45:CSH48 CIJ15:CIJ44 CIL45:CIL48 BYN15:BYN44 BYP45:BYP48 BOR15:BOR44 BOT45:BOT48 BEV15:BEV44 BEX45:BEX48 AUZ15:AUZ44 AVB45:AVB48 ALD15:ALD44 ALF45:ALF48 ABH15:ABH44 ABJ45:ABJ48 RL15:RL44 RN45:RN48" xr:uid="{00000000-0002-0000-0000-000004000000}">
      <formula1>INDIRECT(SUBSTITUTE(HN15&amp;HO15," ",""))</formula1>
    </dataValidation>
    <dataValidation type="list" allowBlank="1" showInputMessage="1" showErrorMessage="1" sqref="F52:F57 J15:J44" xr:uid="{00000000-0002-0000-0000-000005000000}">
      <formula1>Color</formula1>
    </dataValidation>
    <dataValidation type="list" allowBlank="1" showInputMessage="1" showErrorMessage="1" sqref="C16:C44" xr:uid="{00000000-0002-0000-0000-000006000000}">
      <formula1>profile</formula1>
    </dataValidation>
  </dataValidations>
  <printOptions horizontalCentered="1"/>
  <pageMargins left="0.25" right="0.25" top="0.5" bottom="0.25" header="0.17" footer="0.16"/>
  <pageSetup scale="50" fitToWidth="0" fitToHeight="0" orientation="portrait" horizontalDpi="300" verticalDpi="300" r:id="rId1"/>
  <headerFooter alignWithMargins="0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7000000}">
          <x14:formula1>
            <xm:f>'Price Lists'!$B$48:$B$54</xm:f>
          </x14:formula1>
          <xm:sqref>C15</xm:sqref>
        </x14:dataValidation>
        <x14:dataValidation type="list" allowBlank="1" showInputMessage="1" showErrorMessage="1" xr:uid="{00000000-0002-0000-0000-000008000000}">
          <x14:formula1>
            <xm:f>'Price Lists'!$F$25:$F$56</xm:f>
          </x14:formula1>
          <xm:sqref>K15:K44</xm:sqref>
        </x14:dataValidation>
        <x14:dataValidation type="list" showErrorMessage="1" promptTitle="size" prompt="door max is 90 9/16&quot;" xr:uid="{00000000-0002-0000-0000-000009000000}">
          <x14:formula1>
            <xm:f>'Price Lists'!$B$40:$B$43</xm:f>
          </x14:formula1>
          <xm:sqref>B15:B44</xm:sqref>
        </x14:dataValidation>
        <x14:dataValidation type="list" allowBlank="1" showErrorMessage="1" promptTitle="size" prompt="door max is 90 9/16&quot;" xr:uid="{00000000-0002-0000-0000-00000A000000}">
          <x14:formula1>
            <xm:f>'Price Lists'!$B$56:$B$63</xm:f>
          </x14:formula1>
          <xm:sqref>B52:B57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T49"/>
  <sheetViews>
    <sheetView showGridLines="0" showZeros="0" zoomScale="90" zoomScaleNormal="90" workbookViewId="0">
      <selection activeCell="O1" sqref="O1:T1048576"/>
    </sheetView>
  </sheetViews>
  <sheetFormatPr defaultColWidth="9.1796875" defaultRowHeight="12.5" x14ac:dyDescent="0.35"/>
  <cols>
    <col min="1" max="1" width="9.1796875" style="88" customWidth="1"/>
    <col min="2" max="2" width="11.81640625" style="88" customWidth="1"/>
    <col min="3" max="3" width="22" style="88" customWidth="1"/>
    <col min="4" max="4" width="20.1796875" style="88" customWidth="1"/>
    <col min="5" max="5" width="25.1796875" style="88" hidden="1" customWidth="1"/>
    <col min="6" max="6" width="28.81640625" style="88" customWidth="1"/>
    <col min="7" max="7" width="8.81640625" style="88" bestFit="1" customWidth="1"/>
    <col min="8" max="9" width="10.453125" style="88" customWidth="1"/>
    <col min="10" max="10" width="22.54296875" style="88" customWidth="1"/>
    <col min="11" max="11" width="24.54296875" style="88" customWidth="1"/>
    <col min="12" max="12" width="10.1796875" style="88" hidden="1" customWidth="1"/>
    <col min="13" max="13" width="10.1796875" style="88" customWidth="1"/>
    <col min="14" max="14" width="13.453125" style="88" customWidth="1"/>
    <col min="15" max="15" width="8.1796875" style="88" hidden="1" customWidth="1"/>
    <col min="16" max="16" width="4.81640625" style="88" hidden="1" customWidth="1"/>
    <col min="17" max="17" width="13.54296875" style="88" hidden="1" customWidth="1"/>
    <col min="18" max="20" width="4.81640625" style="88" hidden="1" customWidth="1"/>
    <col min="21" max="48" width="9.1796875" style="88" customWidth="1"/>
    <col min="49" max="16384" width="9.1796875" style="88"/>
  </cols>
  <sheetData>
    <row r="1" spans="1:20" s="80" customFormat="1" ht="63" customHeight="1" x14ac:dyDescent="0.35">
      <c r="A1" s="288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</row>
    <row r="2" spans="1:20" s="80" customFormat="1" ht="17.25" customHeight="1" x14ac:dyDescent="0.35">
      <c r="A2" s="81"/>
      <c r="B2" s="82"/>
      <c r="C2" s="82"/>
      <c r="D2" s="82"/>
      <c r="E2" s="82"/>
      <c r="F2" s="82"/>
      <c r="G2" s="82"/>
      <c r="I2" s="82"/>
      <c r="L2" s="82"/>
      <c r="M2" s="82"/>
      <c r="N2" s="82"/>
    </row>
    <row r="3" spans="1:20" s="49" customFormat="1" ht="17.25" customHeight="1" x14ac:dyDescent="0.35">
      <c r="A3" s="245" t="s">
        <v>4</v>
      </c>
      <c r="B3" s="285"/>
      <c r="C3" s="290">
        <f>CUSTOMER!C3</f>
        <v>0</v>
      </c>
      <c r="D3" s="290"/>
      <c r="E3" s="287"/>
      <c r="F3" s="287"/>
      <c r="G3" s="75"/>
      <c r="H3" s="76"/>
      <c r="I3" s="76"/>
      <c r="J3" s="83"/>
      <c r="K3" s="84" t="s">
        <v>140</v>
      </c>
    </row>
    <row r="4" spans="1:20" s="49" customFormat="1" ht="17.25" customHeight="1" x14ac:dyDescent="0.35">
      <c r="A4" s="245" t="s">
        <v>19</v>
      </c>
      <c r="B4" s="285"/>
      <c r="C4" s="287">
        <f>CUSTOMER!C4</f>
        <v>0</v>
      </c>
      <c r="D4" s="287"/>
      <c r="E4" s="287"/>
      <c r="F4" s="287"/>
      <c r="G4" s="75"/>
      <c r="H4" s="76"/>
      <c r="I4" s="76"/>
      <c r="J4" s="83"/>
      <c r="K4" s="49" t="s">
        <v>141</v>
      </c>
      <c r="L4" s="85"/>
      <c r="M4" s="85"/>
      <c r="N4" s="85"/>
    </row>
    <row r="5" spans="1:20" s="49" customFormat="1" ht="17.25" customHeight="1" x14ac:dyDescent="0.35">
      <c r="A5" s="245" t="s">
        <v>20</v>
      </c>
      <c r="B5" s="285"/>
      <c r="C5" s="287">
        <f>CUSTOMER!C5</f>
        <v>0</v>
      </c>
      <c r="D5" s="287"/>
      <c r="E5" s="287"/>
      <c r="F5" s="287"/>
      <c r="G5" s="75"/>
      <c r="H5" s="76"/>
      <c r="I5" s="76"/>
      <c r="J5" s="83"/>
      <c r="K5" s="85" t="str">
        <f>CUSTOMER!K3</f>
        <v>8109 F. Street</v>
      </c>
      <c r="L5" s="86"/>
      <c r="M5" s="86"/>
      <c r="N5" s="86"/>
    </row>
    <row r="6" spans="1:20" s="49" customFormat="1" ht="17.25" customHeight="1" x14ac:dyDescent="0.35">
      <c r="A6" s="245" t="s">
        <v>21</v>
      </c>
      <c r="B6" s="285"/>
      <c r="C6" s="287">
        <f>CUSTOMER!C6</f>
        <v>0</v>
      </c>
      <c r="D6" s="287"/>
      <c r="E6" s="287"/>
      <c r="F6" s="287"/>
      <c r="G6" s="75"/>
      <c r="H6" s="76"/>
      <c r="I6" s="76"/>
      <c r="J6" s="83"/>
      <c r="K6" s="86" t="str">
        <f>CUSTOMER!K4</f>
        <v>Omaha, NE 68127</v>
      </c>
      <c r="L6" s="86"/>
      <c r="M6" s="86"/>
      <c r="N6" s="86"/>
    </row>
    <row r="7" spans="1:20" s="49" customFormat="1" ht="17.25" customHeight="1" x14ac:dyDescent="0.35">
      <c r="A7" s="245" t="s">
        <v>23</v>
      </c>
      <c r="B7" s="285"/>
      <c r="C7" s="287">
        <f>CUSTOMER!C7</f>
        <v>0</v>
      </c>
      <c r="D7" s="287"/>
      <c r="E7" s="287"/>
      <c r="F7" s="287"/>
      <c r="G7" s="75"/>
      <c r="H7" s="76"/>
      <c r="I7" s="76"/>
      <c r="J7" s="83"/>
      <c r="K7" s="86" t="str">
        <f>CUSTOMER!K5</f>
        <v>402-342-4489</v>
      </c>
      <c r="L7" s="85"/>
      <c r="M7" s="85"/>
      <c r="N7" s="85"/>
    </row>
    <row r="8" spans="1:20" s="49" customFormat="1" ht="17.25" customHeight="1" x14ac:dyDescent="0.35">
      <c r="A8" s="245" t="s">
        <v>24</v>
      </c>
      <c r="B8" s="285"/>
      <c r="C8" s="286">
        <f>CUSTOMER!C8</f>
        <v>0</v>
      </c>
      <c r="D8" s="286"/>
      <c r="E8" s="286"/>
      <c r="F8" s="286"/>
      <c r="G8" s="75"/>
      <c r="H8" s="76"/>
      <c r="I8" s="76"/>
      <c r="J8" s="83"/>
      <c r="K8" s="85"/>
      <c r="L8" s="85"/>
      <c r="M8" s="85"/>
      <c r="N8" s="85"/>
    </row>
    <row r="9" spans="1:20" s="49" customFormat="1" ht="17.25" customHeight="1" x14ac:dyDescent="0.35">
      <c r="A9" s="245" t="s">
        <v>25</v>
      </c>
      <c r="B9" s="285"/>
      <c r="C9" s="286">
        <f>CUSTOMER!C9</f>
        <v>0</v>
      </c>
      <c r="D9" s="286"/>
      <c r="E9" s="286"/>
      <c r="F9" s="286"/>
      <c r="G9" s="75"/>
      <c r="H9" s="76"/>
      <c r="I9" s="76"/>
      <c r="J9" s="87"/>
      <c r="K9" s="291"/>
      <c r="L9" s="291"/>
      <c r="M9" s="291"/>
      <c r="N9" s="291"/>
    </row>
    <row r="10" spans="1:20" s="49" customFormat="1" ht="12" customHeight="1" x14ac:dyDescent="0.35">
      <c r="A10" s="245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</row>
    <row r="11" spans="1:20" ht="6.75" customHeight="1" x14ac:dyDescent="0.35">
      <c r="A11" s="293"/>
      <c r="B11" s="293"/>
      <c r="C11" s="293"/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</row>
    <row r="12" spans="1:20" s="51" customFormat="1" ht="47.25" customHeight="1" x14ac:dyDescent="0.35">
      <c r="A12" s="2" t="s">
        <v>32</v>
      </c>
      <c r="B12" s="282">
        <f>CUSTOMER!B12</f>
        <v>0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9"/>
      <c r="O12" s="294" t="s">
        <v>120</v>
      </c>
      <c r="P12" s="294"/>
      <c r="Q12" s="294"/>
      <c r="R12" s="294"/>
      <c r="S12" s="294"/>
      <c r="T12" s="294"/>
    </row>
    <row r="13" spans="1:20" s="9" customFormat="1" ht="6.75" customHeight="1" thickBot="1" x14ac:dyDescent="0.4">
      <c r="A13" s="295"/>
      <c r="B13" s="272"/>
      <c r="C13" s="272"/>
      <c r="D13" s="272"/>
      <c r="E13" s="272"/>
      <c r="F13" s="272"/>
      <c r="G13" s="272"/>
      <c r="H13" s="272"/>
      <c r="I13" s="272"/>
      <c r="J13" s="272"/>
      <c r="K13" s="52"/>
      <c r="P13" s="47"/>
      <c r="Q13" s="47"/>
      <c r="R13" s="47"/>
      <c r="S13" s="47"/>
      <c r="T13" s="47"/>
    </row>
    <row r="14" spans="1:20" s="9" customFormat="1" ht="37.5" customHeight="1" thickBot="1" x14ac:dyDescent="0.4">
      <c r="A14" s="3" t="s">
        <v>60</v>
      </c>
      <c r="B14" s="4" t="s">
        <v>6</v>
      </c>
      <c r="C14" s="4" t="s">
        <v>8</v>
      </c>
      <c r="D14" s="4" t="s">
        <v>3</v>
      </c>
      <c r="E14" s="1" t="s">
        <v>83</v>
      </c>
      <c r="F14" s="4" t="s">
        <v>9</v>
      </c>
      <c r="G14" s="4" t="s">
        <v>112</v>
      </c>
      <c r="H14" s="4" t="s">
        <v>113</v>
      </c>
      <c r="I14" s="4" t="s">
        <v>114</v>
      </c>
      <c r="J14" s="4" t="s">
        <v>2</v>
      </c>
      <c r="K14" s="4" t="s">
        <v>38</v>
      </c>
      <c r="L14" s="4" t="s">
        <v>121</v>
      </c>
      <c r="M14" s="6" t="s">
        <v>122</v>
      </c>
      <c r="N14" s="7" t="s">
        <v>0</v>
      </c>
      <c r="O14" s="15"/>
      <c r="P14" s="53"/>
      <c r="Q14" s="53" t="s">
        <v>39</v>
      </c>
      <c r="R14" s="53"/>
      <c r="S14" s="53"/>
      <c r="T14" s="77"/>
    </row>
    <row r="15" spans="1:20" s="5" customFormat="1" ht="31.5" customHeight="1" x14ac:dyDescent="0.35">
      <c r="A15" s="59">
        <f>CUSTOMER!A15</f>
        <v>0</v>
      </c>
      <c r="B15" s="60">
        <f>CUSTOMER!B15</f>
        <v>0</v>
      </c>
      <c r="C15" s="60">
        <f>CUSTOMER!C15</f>
        <v>0</v>
      </c>
      <c r="D15" s="61">
        <f>CUSTOMER!D15</f>
        <v>0</v>
      </c>
      <c r="E15" s="54" t="str">
        <f>CONCATENATE(B15,C15,D15)</f>
        <v>000</v>
      </c>
      <c r="F15" s="55" t="str">
        <f>CUSTOMER!F15</f>
        <v/>
      </c>
      <c r="G15" s="62">
        <f>CUSTOMER!G15</f>
        <v>0</v>
      </c>
      <c r="H15" s="62">
        <f>CUSTOMER!H15</f>
        <v>0</v>
      </c>
      <c r="I15" s="63">
        <f>IFERROR((G15*H15)/144,"")</f>
        <v>0</v>
      </c>
      <c r="J15" s="61">
        <f>CUSTOMER!J15</f>
        <v>0</v>
      </c>
      <c r="K15" s="61">
        <f>CUSTOMER!K15</f>
        <v>0</v>
      </c>
      <c r="L15" s="56" t="str">
        <f>IFERROR(IF(D15&gt;0,O15*I15+Q15*I15,""),"")</f>
        <v/>
      </c>
      <c r="M15" s="57" t="str">
        <f t="shared" ref="M15:M25" si="0">IFERROR(L15/I15,"")</f>
        <v/>
      </c>
      <c r="N15" s="58" t="str">
        <f t="shared" ref="N15:N44" si="1">IF(ISERROR(($A15*$L15)),(""),($A15*$L15))</f>
        <v/>
      </c>
      <c r="O15" s="11" t="str">
        <f>IFERROR(VLOOKUP(D15,'Price Lists'!F:I,2,FALSE),"")</f>
        <v/>
      </c>
      <c r="P15" s="12" t="str">
        <f t="shared" ref="P15:P25" si="2">CONCATENATE(B15,C15)</f>
        <v>00</v>
      </c>
      <c r="Q15" s="13">
        <f>IFERROR(VLOOKUP(CUSTOMER!$K15,'Price Lists'!$F$26:$I$56,4,0),0)*(1-'Price Lists'!N$2)</f>
        <v>0</v>
      </c>
      <c r="R15" s="13"/>
      <c r="S15" s="14"/>
      <c r="T15" s="13"/>
    </row>
    <row r="16" spans="1:20" s="5" customFormat="1" ht="31.5" customHeight="1" x14ac:dyDescent="0.35">
      <c r="A16" s="59">
        <f>CUSTOMER!A16</f>
        <v>0</v>
      </c>
      <c r="B16" s="60" t="str">
        <f>CUSTOMER!B16</f>
        <v/>
      </c>
      <c r="C16" s="60" t="str">
        <f>CUSTOMER!C16</f>
        <v/>
      </c>
      <c r="D16" s="61" t="str">
        <f>CUSTOMER!D16</f>
        <v/>
      </c>
      <c r="E16" s="54" t="str">
        <f t="shared" ref="E16:E25" si="3">CONCATENATE(B16,C16,D16)</f>
        <v/>
      </c>
      <c r="F16" s="55" t="str">
        <f>CUSTOMER!F16</f>
        <v/>
      </c>
      <c r="G16" s="62">
        <f>CUSTOMER!G16</f>
        <v>0</v>
      </c>
      <c r="H16" s="62">
        <f>CUSTOMER!H16</f>
        <v>0</v>
      </c>
      <c r="I16" s="63">
        <f t="shared" ref="I16:I25" si="4">IFERROR((G16*H16)/144,"")</f>
        <v>0</v>
      </c>
      <c r="J16" s="61" t="str">
        <f>CUSTOMER!J16</f>
        <v/>
      </c>
      <c r="K16" s="61" t="str">
        <f>CUSTOMER!K16</f>
        <v/>
      </c>
      <c r="L16" s="56" t="str">
        <f>IFERROR(IF(D16&gt;0,O16*I16+Q16*I16,""),"")</f>
        <v/>
      </c>
      <c r="M16" s="64" t="str">
        <f t="shared" si="0"/>
        <v/>
      </c>
      <c r="N16" s="58" t="str">
        <f t="shared" si="1"/>
        <v/>
      </c>
      <c r="O16" s="11" t="str">
        <f>IFERROR(VLOOKUP(D16,'Price Lists'!F:I,2,FALSE),"")</f>
        <v/>
      </c>
      <c r="P16" s="12" t="str">
        <f t="shared" si="2"/>
        <v/>
      </c>
      <c r="Q16" s="13">
        <f>IFERROR(VLOOKUP(CUSTOMER!$K16,'Price Lists'!$F$26:$I$56,4,0),0)*(1-'Price Lists'!N$2)</f>
        <v>0</v>
      </c>
      <c r="R16" s="13"/>
      <c r="S16" s="14"/>
      <c r="T16" s="13"/>
    </row>
    <row r="17" spans="1:20" s="5" customFormat="1" ht="31.5" customHeight="1" x14ac:dyDescent="0.35">
      <c r="A17" s="59">
        <f>CUSTOMER!A17</f>
        <v>0</v>
      </c>
      <c r="B17" s="60" t="str">
        <f>CUSTOMER!B17</f>
        <v/>
      </c>
      <c r="C17" s="60" t="str">
        <f>CUSTOMER!C17</f>
        <v/>
      </c>
      <c r="D17" s="61" t="str">
        <f>CUSTOMER!D17</f>
        <v/>
      </c>
      <c r="E17" s="54" t="str">
        <f t="shared" si="3"/>
        <v/>
      </c>
      <c r="F17" s="55" t="str">
        <f>CUSTOMER!F17</f>
        <v/>
      </c>
      <c r="G17" s="62">
        <f>CUSTOMER!G17</f>
        <v>0</v>
      </c>
      <c r="H17" s="62">
        <f>CUSTOMER!H17</f>
        <v>0</v>
      </c>
      <c r="I17" s="63">
        <f t="shared" si="4"/>
        <v>0</v>
      </c>
      <c r="J17" s="61" t="str">
        <f>CUSTOMER!J17</f>
        <v/>
      </c>
      <c r="K17" s="61" t="str">
        <f>CUSTOMER!K17</f>
        <v/>
      </c>
      <c r="L17" s="56" t="str">
        <f t="shared" ref="L17:L25" si="5">IFERROR(IF(D17&gt;0,O17*I17+Q17*I17,""),"")</f>
        <v/>
      </c>
      <c r="M17" s="64" t="str">
        <f t="shared" si="0"/>
        <v/>
      </c>
      <c r="N17" s="58" t="str">
        <f t="shared" si="1"/>
        <v/>
      </c>
      <c r="O17" s="11" t="str">
        <f>IFERROR(VLOOKUP(D17,'Price Lists'!F:I,2,FALSE),"")</f>
        <v/>
      </c>
      <c r="P17" s="12" t="str">
        <f t="shared" si="2"/>
        <v/>
      </c>
      <c r="Q17" s="13">
        <f>IFERROR(VLOOKUP(CUSTOMER!$K17,'Price Lists'!$F$26:$I$56,4,0),0)*(1-'Price Lists'!N$2)</f>
        <v>0</v>
      </c>
      <c r="R17" s="13"/>
      <c r="S17" s="14"/>
      <c r="T17" s="13"/>
    </row>
    <row r="18" spans="1:20" s="5" customFormat="1" ht="31.5" customHeight="1" x14ac:dyDescent="0.35">
      <c r="A18" s="59">
        <f>CUSTOMER!A18</f>
        <v>0</v>
      </c>
      <c r="B18" s="60" t="str">
        <f>CUSTOMER!B18</f>
        <v/>
      </c>
      <c r="C18" s="60" t="str">
        <f>CUSTOMER!C18</f>
        <v/>
      </c>
      <c r="D18" s="61" t="str">
        <f>CUSTOMER!D18</f>
        <v/>
      </c>
      <c r="E18" s="54" t="str">
        <f t="shared" si="3"/>
        <v/>
      </c>
      <c r="F18" s="55" t="str">
        <f>CUSTOMER!F18</f>
        <v/>
      </c>
      <c r="G18" s="62">
        <f>CUSTOMER!G18</f>
        <v>0</v>
      </c>
      <c r="H18" s="62">
        <f>CUSTOMER!H18</f>
        <v>0</v>
      </c>
      <c r="I18" s="63">
        <f t="shared" si="4"/>
        <v>0</v>
      </c>
      <c r="J18" s="61" t="str">
        <f>CUSTOMER!J18</f>
        <v/>
      </c>
      <c r="K18" s="61" t="str">
        <f>CUSTOMER!K18</f>
        <v/>
      </c>
      <c r="L18" s="56" t="str">
        <f t="shared" si="5"/>
        <v/>
      </c>
      <c r="M18" s="64" t="str">
        <f t="shared" si="0"/>
        <v/>
      </c>
      <c r="N18" s="58" t="str">
        <f t="shared" si="1"/>
        <v/>
      </c>
      <c r="O18" s="11" t="str">
        <f>IFERROR(VLOOKUP(D18,'Price Lists'!F:I,2,FALSE),"")</f>
        <v/>
      </c>
      <c r="P18" s="12" t="str">
        <f t="shared" si="2"/>
        <v/>
      </c>
      <c r="Q18" s="13">
        <f>IFERROR(VLOOKUP(CUSTOMER!$K18,'Price Lists'!$F$26:$I$56,4,0),0)*(1-'Price Lists'!N$2)</f>
        <v>0</v>
      </c>
      <c r="R18" s="13"/>
      <c r="S18" s="14"/>
      <c r="T18" s="13"/>
    </row>
    <row r="19" spans="1:20" s="5" customFormat="1" ht="31.5" customHeight="1" x14ac:dyDescent="0.35">
      <c r="A19" s="59">
        <f>CUSTOMER!A19</f>
        <v>0</v>
      </c>
      <c r="B19" s="60" t="str">
        <f>CUSTOMER!B19</f>
        <v/>
      </c>
      <c r="C19" s="60" t="str">
        <f>CUSTOMER!C19</f>
        <v/>
      </c>
      <c r="D19" s="61" t="str">
        <f>CUSTOMER!D19</f>
        <v/>
      </c>
      <c r="E19" s="54" t="str">
        <f t="shared" si="3"/>
        <v/>
      </c>
      <c r="F19" s="55" t="str">
        <f>CUSTOMER!F19</f>
        <v/>
      </c>
      <c r="G19" s="62">
        <f>CUSTOMER!G19</f>
        <v>0</v>
      </c>
      <c r="H19" s="62">
        <f>CUSTOMER!H19</f>
        <v>0</v>
      </c>
      <c r="I19" s="63">
        <f t="shared" si="4"/>
        <v>0</v>
      </c>
      <c r="J19" s="61" t="str">
        <f>CUSTOMER!J19</f>
        <v/>
      </c>
      <c r="K19" s="61" t="str">
        <f>CUSTOMER!K19</f>
        <v/>
      </c>
      <c r="L19" s="56" t="str">
        <f t="shared" si="5"/>
        <v/>
      </c>
      <c r="M19" s="64" t="str">
        <f t="shared" si="0"/>
        <v/>
      </c>
      <c r="N19" s="58" t="str">
        <f t="shared" si="1"/>
        <v/>
      </c>
      <c r="O19" s="11" t="str">
        <f>IFERROR(VLOOKUP(D19,'Price Lists'!F:I,2,FALSE),"")</f>
        <v/>
      </c>
      <c r="P19" s="12" t="str">
        <f t="shared" si="2"/>
        <v/>
      </c>
      <c r="Q19" s="13">
        <f>IFERROR(VLOOKUP(CUSTOMER!$K19,'Price Lists'!$F$26:$I$56,4,0),0)*(1-'Price Lists'!N$2)</f>
        <v>0</v>
      </c>
      <c r="R19" s="13"/>
      <c r="S19" s="14"/>
      <c r="T19" s="13"/>
    </row>
    <row r="20" spans="1:20" s="5" customFormat="1" ht="31.5" customHeight="1" x14ac:dyDescent="0.35">
      <c r="A20" s="59">
        <f>CUSTOMER!A20</f>
        <v>0</v>
      </c>
      <c r="B20" s="60" t="str">
        <f>CUSTOMER!B20</f>
        <v/>
      </c>
      <c r="C20" s="60" t="str">
        <f>CUSTOMER!C20</f>
        <v/>
      </c>
      <c r="D20" s="61" t="str">
        <f>CUSTOMER!D20</f>
        <v/>
      </c>
      <c r="E20" s="54" t="str">
        <f t="shared" si="3"/>
        <v/>
      </c>
      <c r="F20" s="55" t="str">
        <f>CUSTOMER!F20</f>
        <v/>
      </c>
      <c r="G20" s="62">
        <f>CUSTOMER!G20</f>
        <v>0</v>
      </c>
      <c r="H20" s="62">
        <f>CUSTOMER!H20</f>
        <v>0</v>
      </c>
      <c r="I20" s="63">
        <f t="shared" si="4"/>
        <v>0</v>
      </c>
      <c r="J20" s="61" t="str">
        <f>CUSTOMER!J20</f>
        <v/>
      </c>
      <c r="K20" s="61" t="str">
        <f>CUSTOMER!K20</f>
        <v/>
      </c>
      <c r="L20" s="56" t="str">
        <f t="shared" si="5"/>
        <v/>
      </c>
      <c r="M20" s="64" t="str">
        <f t="shared" si="0"/>
        <v/>
      </c>
      <c r="N20" s="58" t="str">
        <f t="shared" si="1"/>
        <v/>
      </c>
      <c r="O20" s="11" t="str">
        <f>IFERROR(VLOOKUP(D20,'Price Lists'!F:I,2,FALSE),"")</f>
        <v/>
      </c>
      <c r="P20" s="12" t="str">
        <f t="shared" si="2"/>
        <v/>
      </c>
      <c r="Q20" s="13">
        <f>IFERROR(VLOOKUP(CUSTOMER!$K20,'Price Lists'!$F$26:$I$56,4,0),0)*(1-'Price Lists'!N$2)</f>
        <v>0</v>
      </c>
      <c r="R20" s="13"/>
      <c r="S20" s="14"/>
      <c r="T20" s="13"/>
    </row>
    <row r="21" spans="1:20" s="5" customFormat="1" ht="31.5" customHeight="1" x14ac:dyDescent="0.35">
      <c r="A21" s="59">
        <f>CUSTOMER!A21</f>
        <v>0</v>
      </c>
      <c r="B21" s="60" t="str">
        <f>CUSTOMER!B21</f>
        <v/>
      </c>
      <c r="C21" s="60" t="str">
        <f>CUSTOMER!C21</f>
        <v/>
      </c>
      <c r="D21" s="61" t="str">
        <f>CUSTOMER!D21</f>
        <v/>
      </c>
      <c r="E21" s="54" t="str">
        <f t="shared" si="3"/>
        <v/>
      </c>
      <c r="F21" s="55" t="str">
        <f>CUSTOMER!F21</f>
        <v/>
      </c>
      <c r="G21" s="62">
        <f>CUSTOMER!G21</f>
        <v>0</v>
      </c>
      <c r="H21" s="62">
        <f>CUSTOMER!H21</f>
        <v>0</v>
      </c>
      <c r="I21" s="63">
        <f t="shared" si="4"/>
        <v>0</v>
      </c>
      <c r="J21" s="61" t="str">
        <f>CUSTOMER!J21</f>
        <v/>
      </c>
      <c r="K21" s="61" t="str">
        <f>CUSTOMER!K21</f>
        <v/>
      </c>
      <c r="L21" s="56" t="str">
        <f t="shared" si="5"/>
        <v/>
      </c>
      <c r="M21" s="64" t="str">
        <f t="shared" si="0"/>
        <v/>
      </c>
      <c r="N21" s="58" t="str">
        <f t="shared" si="1"/>
        <v/>
      </c>
      <c r="O21" s="11" t="str">
        <f>IFERROR(VLOOKUP(D21,'Price Lists'!F:I,2,FALSE),"")</f>
        <v/>
      </c>
      <c r="P21" s="12" t="str">
        <f t="shared" si="2"/>
        <v/>
      </c>
      <c r="Q21" s="13">
        <f>IFERROR(VLOOKUP(CUSTOMER!$K21,'Price Lists'!$F$26:$I$56,4,0),0)*(1-'Price Lists'!N$2)</f>
        <v>0</v>
      </c>
      <c r="R21" s="13"/>
      <c r="S21" s="14"/>
      <c r="T21" s="13"/>
    </row>
    <row r="22" spans="1:20" s="5" customFormat="1" ht="31.5" customHeight="1" x14ac:dyDescent="0.35">
      <c r="A22" s="59">
        <f>CUSTOMER!A22</f>
        <v>0</v>
      </c>
      <c r="B22" s="60" t="str">
        <f>CUSTOMER!B22</f>
        <v/>
      </c>
      <c r="C22" s="60" t="str">
        <f>CUSTOMER!C22</f>
        <v/>
      </c>
      <c r="D22" s="61" t="str">
        <f>CUSTOMER!D22</f>
        <v/>
      </c>
      <c r="E22" s="54" t="str">
        <f t="shared" si="3"/>
        <v/>
      </c>
      <c r="F22" s="55" t="str">
        <f>CUSTOMER!F22</f>
        <v/>
      </c>
      <c r="G22" s="62">
        <f>CUSTOMER!G22</f>
        <v>0</v>
      </c>
      <c r="H22" s="62">
        <f>CUSTOMER!H22</f>
        <v>0</v>
      </c>
      <c r="I22" s="63">
        <f t="shared" si="4"/>
        <v>0</v>
      </c>
      <c r="J22" s="61" t="str">
        <f>CUSTOMER!J22</f>
        <v/>
      </c>
      <c r="K22" s="61" t="str">
        <f>CUSTOMER!K22</f>
        <v/>
      </c>
      <c r="L22" s="56" t="str">
        <f t="shared" si="5"/>
        <v/>
      </c>
      <c r="M22" s="64" t="str">
        <f t="shared" si="0"/>
        <v/>
      </c>
      <c r="N22" s="58" t="str">
        <f t="shared" si="1"/>
        <v/>
      </c>
      <c r="O22" s="11" t="str">
        <f>IFERROR(VLOOKUP(D22,'Price Lists'!F:I,2,FALSE),"")</f>
        <v/>
      </c>
      <c r="P22" s="12" t="str">
        <f t="shared" si="2"/>
        <v/>
      </c>
      <c r="Q22" s="13">
        <f>IFERROR(VLOOKUP(CUSTOMER!$K22,'Price Lists'!$F$26:$I$56,4,0),0)*(1-'Price Lists'!N$2)</f>
        <v>0</v>
      </c>
      <c r="R22" s="13"/>
      <c r="S22" s="14"/>
      <c r="T22" s="13"/>
    </row>
    <row r="23" spans="1:20" s="5" customFormat="1" ht="31.5" customHeight="1" x14ac:dyDescent="0.35">
      <c r="A23" s="59">
        <f>CUSTOMER!A23</f>
        <v>0</v>
      </c>
      <c r="B23" s="60" t="str">
        <f>CUSTOMER!B23</f>
        <v/>
      </c>
      <c r="C23" s="60" t="str">
        <f>CUSTOMER!C23</f>
        <v/>
      </c>
      <c r="D23" s="61" t="str">
        <f>CUSTOMER!D23</f>
        <v/>
      </c>
      <c r="E23" s="54" t="str">
        <f t="shared" si="3"/>
        <v/>
      </c>
      <c r="F23" s="55" t="str">
        <f>CUSTOMER!F23</f>
        <v/>
      </c>
      <c r="G23" s="62">
        <f>CUSTOMER!G23</f>
        <v>0</v>
      </c>
      <c r="H23" s="62">
        <f>CUSTOMER!H23</f>
        <v>0</v>
      </c>
      <c r="I23" s="63">
        <f t="shared" si="4"/>
        <v>0</v>
      </c>
      <c r="J23" s="61" t="str">
        <f>CUSTOMER!J23</f>
        <v/>
      </c>
      <c r="K23" s="61" t="str">
        <f>CUSTOMER!K23</f>
        <v/>
      </c>
      <c r="L23" s="56" t="str">
        <f t="shared" si="5"/>
        <v/>
      </c>
      <c r="M23" s="64" t="str">
        <f t="shared" si="0"/>
        <v/>
      </c>
      <c r="N23" s="58" t="str">
        <f t="shared" si="1"/>
        <v/>
      </c>
      <c r="O23" s="11" t="str">
        <f>IFERROR(VLOOKUP(D23,'Price Lists'!F:I,2,FALSE),"")</f>
        <v/>
      </c>
      <c r="P23" s="12" t="str">
        <f t="shared" si="2"/>
        <v/>
      </c>
      <c r="Q23" s="13">
        <f>IFERROR(VLOOKUP(CUSTOMER!$K23,'Price Lists'!$F$26:$I$56,4,0),0)*(1-'Price Lists'!N$2)</f>
        <v>0</v>
      </c>
      <c r="R23" s="13"/>
      <c r="S23" s="14"/>
      <c r="T23" s="13"/>
    </row>
    <row r="24" spans="1:20" s="5" customFormat="1" ht="31.5" customHeight="1" x14ac:dyDescent="0.35">
      <c r="A24" s="59">
        <f>CUSTOMER!A24</f>
        <v>0</v>
      </c>
      <c r="B24" s="60" t="str">
        <f>CUSTOMER!B24</f>
        <v/>
      </c>
      <c r="C24" s="60" t="str">
        <f>CUSTOMER!C24</f>
        <v/>
      </c>
      <c r="D24" s="61" t="str">
        <f>CUSTOMER!D24</f>
        <v/>
      </c>
      <c r="E24" s="54" t="str">
        <f t="shared" si="3"/>
        <v/>
      </c>
      <c r="F24" s="55" t="str">
        <f>CUSTOMER!F24</f>
        <v/>
      </c>
      <c r="G24" s="62">
        <f>CUSTOMER!G24</f>
        <v>0</v>
      </c>
      <c r="H24" s="62">
        <f>CUSTOMER!H24</f>
        <v>0</v>
      </c>
      <c r="I24" s="63">
        <f t="shared" si="4"/>
        <v>0</v>
      </c>
      <c r="J24" s="61" t="str">
        <f>CUSTOMER!J24</f>
        <v/>
      </c>
      <c r="K24" s="61" t="str">
        <f>CUSTOMER!K24</f>
        <v/>
      </c>
      <c r="L24" s="56" t="str">
        <f t="shared" si="5"/>
        <v/>
      </c>
      <c r="M24" s="64" t="str">
        <f t="shared" si="0"/>
        <v/>
      </c>
      <c r="N24" s="58" t="str">
        <f t="shared" si="1"/>
        <v/>
      </c>
      <c r="O24" s="11" t="str">
        <f>IFERROR(VLOOKUP(D24,'Price Lists'!F:I,2,FALSE),"")</f>
        <v/>
      </c>
      <c r="P24" s="12" t="str">
        <f t="shared" si="2"/>
        <v/>
      </c>
      <c r="Q24" s="13">
        <f>IFERROR(VLOOKUP(CUSTOMER!$K24,'Price Lists'!$F$26:$I$56,4,0),0)*(1-'Price Lists'!N$2)</f>
        <v>0</v>
      </c>
      <c r="R24" s="13"/>
      <c r="S24" s="14"/>
      <c r="T24" s="13"/>
    </row>
    <row r="25" spans="1:20" s="5" customFormat="1" ht="31.5" customHeight="1" x14ac:dyDescent="0.35">
      <c r="A25" s="59">
        <f>CUSTOMER!A25</f>
        <v>0</v>
      </c>
      <c r="B25" s="60" t="str">
        <f>CUSTOMER!B25</f>
        <v/>
      </c>
      <c r="C25" s="60" t="str">
        <f>CUSTOMER!C25</f>
        <v/>
      </c>
      <c r="D25" s="61" t="str">
        <f>CUSTOMER!D25</f>
        <v/>
      </c>
      <c r="E25" s="54" t="str">
        <f t="shared" si="3"/>
        <v/>
      </c>
      <c r="F25" s="55" t="str">
        <f>CUSTOMER!F25</f>
        <v/>
      </c>
      <c r="G25" s="62">
        <f>CUSTOMER!G25</f>
        <v>0</v>
      </c>
      <c r="H25" s="62">
        <f>CUSTOMER!H25</f>
        <v>0</v>
      </c>
      <c r="I25" s="63">
        <f t="shared" si="4"/>
        <v>0</v>
      </c>
      <c r="J25" s="61" t="str">
        <f>CUSTOMER!J25</f>
        <v/>
      </c>
      <c r="K25" s="61" t="str">
        <f>CUSTOMER!K25</f>
        <v/>
      </c>
      <c r="L25" s="56" t="str">
        <f t="shared" si="5"/>
        <v/>
      </c>
      <c r="M25" s="64" t="str">
        <f t="shared" si="0"/>
        <v/>
      </c>
      <c r="N25" s="58" t="str">
        <f t="shared" si="1"/>
        <v/>
      </c>
      <c r="O25" s="11" t="str">
        <f>IFERROR(VLOOKUP(D25,'Price Lists'!F:I,2,FALSE),"")</f>
        <v/>
      </c>
      <c r="P25" s="12" t="str">
        <f t="shared" si="2"/>
        <v/>
      </c>
      <c r="Q25" s="13">
        <f>IFERROR(VLOOKUP(CUSTOMER!$K25,'Price Lists'!$F$26:$I$56,4,0),0)*(1-'Price Lists'!N$2)</f>
        <v>0</v>
      </c>
      <c r="R25" s="13"/>
      <c r="S25" s="14"/>
      <c r="T25" s="13"/>
    </row>
    <row r="26" spans="1:20" s="5" customFormat="1" ht="31.5" customHeight="1" x14ac:dyDescent="0.35">
      <c r="A26" s="59">
        <f>CUSTOMER!A26</f>
        <v>0</v>
      </c>
      <c r="B26" s="60" t="str">
        <f>CUSTOMER!B26</f>
        <v/>
      </c>
      <c r="C26" s="60" t="str">
        <f>CUSTOMER!C26</f>
        <v/>
      </c>
      <c r="D26" s="61" t="str">
        <f>CUSTOMER!D26</f>
        <v/>
      </c>
      <c r="E26" s="54" t="str">
        <f t="shared" ref="E26:E44" si="6">CONCATENATE(B26,C26,D26)</f>
        <v/>
      </c>
      <c r="F26" s="55" t="str">
        <f>CUSTOMER!F26</f>
        <v/>
      </c>
      <c r="G26" s="62">
        <f>CUSTOMER!G26</f>
        <v>0</v>
      </c>
      <c r="H26" s="62">
        <f>CUSTOMER!H26</f>
        <v>0</v>
      </c>
      <c r="I26" s="63">
        <f t="shared" ref="I26:I44" si="7">IFERROR((G26*H26)/144,"")</f>
        <v>0</v>
      </c>
      <c r="J26" s="61" t="str">
        <f>CUSTOMER!J26</f>
        <v/>
      </c>
      <c r="K26" s="61" t="str">
        <f>CUSTOMER!K26</f>
        <v/>
      </c>
      <c r="L26" s="224" t="str">
        <f t="shared" ref="L26:L44" si="8">IFERROR(IF(D26&gt;0,O26*I26+Q26*I26,""),"")</f>
        <v/>
      </c>
      <c r="M26" s="64" t="str">
        <f t="shared" ref="M26:M44" si="9">IFERROR(L26/I26,"")</f>
        <v/>
      </c>
      <c r="N26" s="58" t="str">
        <f t="shared" si="1"/>
        <v/>
      </c>
      <c r="O26" s="11" t="str">
        <f>IFERROR(VLOOKUP(D26,'Price Lists'!F:I,2,FALSE),"")</f>
        <v/>
      </c>
      <c r="P26" s="12" t="str">
        <f t="shared" ref="P26:P44" si="10">CONCATENATE(B26,C26)</f>
        <v/>
      </c>
      <c r="Q26" s="13">
        <f>IFERROR(VLOOKUP(CUSTOMER!$K26,'Price Lists'!$F$26:$I$56,4,0),0)*(1-'Price Lists'!N$2)</f>
        <v>0</v>
      </c>
      <c r="R26" s="13"/>
      <c r="S26" s="14"/>
      <c r="T26" s="13"/>
    </row>
    <row r="27" spans="1:20" s="5" customFormat="1" ht="31.5" customHeight="1" x14ac:dyDescent="0.35">
      <c r="A27" s="59">
        <f>CUSTOMER!A27</f>
        <v>0</v>
      </c>
      <c r="B27" s="60" t="str">
        <f>CUSTOMER!B27</f>
        <v/>
      </c>
      <c r="C27" s="60" t="str">
        <f>CUSTOMER!C27</f>
        <v/>
      </c>
      <c r="D27" s="61" t="str">
        <f>CUSTOMER!D27</f>
        <v/>
      </c>
      <c r="E27" s="54" t="str">
        <f t="shared" si="6"/>
        <v/>
      </c>
      <c r="F27" s="55" t="str">
        <f>CUSTOMER!F27</f>
        <v/>
      </c>
      <c r="G27" s="62">
        <f>CUSTOMER!G27</f>
        <v>0</v>
      </c>
      <c r="H27" s="62">
        <f>CUSTOMER!H27</f>
        <v>0</v>
      </c>
      <c r="I27" s="63">
        <f t="shared" si="7"/>
        <v>0</v>
      </c>
      <c r="J27" s="61" t="str">
        <f>CUSTOMER!J27</f>
        <v/>
      </c>
      <c r="K27" s="61" t="str">
        <f>CUSTOMER!K27</f>
        <v/>
      </c>
      <c r="L27" s="224" t="str">
        <f t="shared" si="8"/>
        <v/>
      </c>
      <c r="M27" s="64" t="str">
        <f t="shared" si="9"/>
        <v/>
      </c>
      <c r="N27" s="58" t="str">
        <f t="shared" si="1"/>
        <v/>
      </c>
      <c r="O27" s="11" t="str">
        <f>IFERROR(VLOOKUP(D27,'Price Lists'!F:I,2,FALSE),"")</f>
        <v/>
      </c>
      <c r="P27" s="12" t="str">
        <f t="shared" si="10"/>
        <v/>
      </c>
      <c r="Q27" s="13">
        <f>IFERROR(VLOOKUP(CUSTOMER!$K27,'Price Lists'!$F$26:$I$56,4,0),0)*(1-'Price Lists'!N$2)</f>
        <v>0</v>
      </c>
      <c r="R27" s="13"/>
      <c r="S27" s="14"/>
      <c r="T27" s="13"/>
    </row>
    <row r="28" spans="1:20" s="5" customFormat="1" ht="31.5" customHeight="1" x14ac:dyDescent="0.35">
      <c r="A28" s="59">
        <f>CUSTOMER!A28</f>
        <v>0</v>
      </c>
      <c r="B28" s="60" t="str">
        <f>CUSTOMER!B28</f>
        <v/>
      </c>
      <c r="C28" s="60" t="str">
        <f>CUSTOMER!C28</f>
        <v/>
      </c>
      <c r="D28" s="61" t="str">
        <f>CUSTOMER!D28</f>
        <v/>
      </c>
      <c r="E28" s="54" t="str">
        <f t="shared" si="6"/>
        <v/>
      </c>
      <c r="F28" s="55" t="str">
        <f>CUSTOMER!F28</f>
        <v/>
      </c>
      <c r="G28" s="62">
        <f>CUSTOMER!G28</f>
        <v>0</v>
      </c>
      <c r="H28" s="62">
        <f>CUSTOMER!H28</f>
        <v>0</v>
      </c>
      <c r="I28" s="63">
        <f t="shared" si="7"/>
        <v>0</v>
      </c>
      <c r="J28" s="61" t="str">
        <f>CUSTOMER!J28</f>
        <v/>
      </c>
      <c r="K28" s="61" t="str">
        <f>CUSTOMER!K28</f>
        <v/>
      </c>
      <c r="L28" s="224" t="str">
        <f t="shared" si="8"/>
        <v/>
      </c>
      <c r="M28" s="64" t="str">
        <f t="shared" si="9"/>
        <v/>
      </c>
      <c r="N28" s="58" t="str">
        <f t="shared" si="1"/>
        <v/>
      </c>
      <c r="O28" s="11" t="str">
        <f>IFERROR(VLOOKUP(D28,'Price Lists'!F:I,2,FALSE),"")</f>
        <v/>
      </c>
      <c r="P28" s="12" t="str">
        <f t="shared" si="10"/>
        <v/>
      </c>
      <c r="Q28" s="13">
        <f>IFERROR(VLOOKUP(CUSTOMER!$K28,'Price Lists'!$F$26:$I$56,4,0),0)*(1-'Price Lists'!N$2)</f>
        <v>0</v>
      </c>
      <c r="R28" s="13"/>
      <c r="S28" s="14"/>
      <c r="T28" s="13"/>
    </row>
    <row r="29" spans="1:20" s="5" customFormat="1" ht="31.5" customHeight="1" x14ac:dyDescent="0.35">
      <c r="A29" s="59">
        <f>CUSTOMER!A29</f>
        <v>0</v>
      </c>
      <c r="B29" s="60" t="str">
        <f>CUSTOMER!B29</f>
        <v/>
      </c>
      <c r="C29" s="60" t="str">
        <f>CUSTOMER!C29</f>
        <v/>
      </c>
      <c r="D29" s="61" t="str">
        <f>CUSTOMER!D29</f>
        <v/>
      </c>
      <c r="E29" s="54" t="str">
        <f t="shared" si="6"/>
        <v/>
      </c>
      <c r="F29" s="55" t="str">
        <f>CUSTOMER!F29</f>
        <v/>
      </c>
      <c r="G29" s="62">
        <f>CUSTOMER!G29</f>
        <v>0</v>
      </c>
      <c r="H29" s="62">
        <f>CUSTOMER!H29</f>
        <v>0</v>
      </c>
      <c r="I29" s="63">
        <f t="shared" si="7"/>
        <v>0</v>
      </c>
      <c r="J29" s="61" t="str">
        <f>CUSTOMER!J29</f>
        <v/>
      </c>
      <c r="K29" s="61" t="str">
        <f>CUSTOMER!K29</f>
        <v/>
      </c>
      <c r="L29" s="224" t="str">
        <f t="shared" si="8"/>
        <v/>
      </c>
      <c r="M29" s="64" t="str">
        <f t="shared" si="9"/>
        <v/>
      </c>
      <c r="N29" s="58" t="str">
        <f t="shared" si="1"/>
        <v/>
      </c>
      <c r="O29" s="11" t="str">
        <f>IFERROR(VLOOKUP(D29,'Price Lists'!F:I,2,FALSE),"")</f>
        <v/>
      </c>
      <c r="P29" s="12" t="str">
        <f t="shared" si="10"/>
        <v/>
      </c>
      <c r="Q29" s="13">
        <f>IFERROR(VLOOKUP(CUSTOMER!$K29,'Price Lists'!$F$26:$I$56,4,0),0)*(1-'Price Lists'!N$2)</f>
        <v>0</v>
      </c>
      <c r="R29" s="13"/>
      <c r="S29" s="14"/>
      <c r="T29" s="13"/>
    </row>
    <row r="30" spans="1:20" s="5" customFormat="1" ht="31.5" customHeight="1" x14ac:dyDescent="0.35">
      <c r="A30" s="59">
        <f>CUSTOMER!A30</f>
        <v>0</v>
      </c>
      <c r="B30" s="60" t="str">
        <f>CUSTOMER!B30</f>
        <v/>
      </c>
      <c r="C30" s="60" t="str">
        <f>CUSTOMER!C30</f>
        <v/>
      </c>
      <c r="D30" s="61" t="str">
        <f>CUSTOMER!D30</f>
        <v/>
      </c>
      <c r="E30" s="54" t="str">
        <f t="shared" si="6"/>
        <v/>
      </c>
      <c r="F30" s="55" t="str">
        <f>CUSTOMER!F30</f>
        <v/>
      </c>
      <c r="G30" s="62">
        <f>CUSTOMER!G30</f>
        <v>0</v>
      </c>
      <c r="H30" s="62">
        <f>CUSTOMER!H30</f>
        <v>0</v>
      </c>
      <c r="I30" s="63">
        <f t="shared" si="7"/>
        <v>0</v>
      </c>
      <c r="J30" s="61" t="str">
        <f>CUSTOMER!J30</f>
        <v/>
      </c>
      <c r="K30" s="61" t="str">
        <f>CUSTOMER!K30</f>
        <v/>
      </c>
      <c r="L30" s="224" t="str">
        <f t="shared" si="8"/>
        <v/>
      </c>
      <c r="M30" s="64" t="str">
        <f t="shared" si="9"/>
        <v/>
      </c>
      <c r="N30" s="58" t="str">
        <f t="shared" si="1"/>
        <v/>
      </c>
      <c r="O30" s="11" t="str">
        <f>IFERROR(VLOOKUP(D30,'Price Lists'!F:I,2,FALSE),"")</f>
        <v/>
      </c>
      <c r="P30" s="12" t="str">
        <f t="shared" si="10"/>
        <v/>
      </c>
      <c r="Q30" s="13">
        <f>IFERROR(VLOOKUP(CUSTOMER!$K30,'Price Lists'!$F$26:$I$56,4,0),0)*(1-'Price Lists'!N$2)</f>
        <v>0</v>
      </c>
      <c r="R30" s="13"/>
      <c r="S30" s="14"/>
      <c r="T30" s="13"/>
    </row>
    <row r="31" spans="1:20" s="5" customFormat="1" ht="31.5" customHeight="1" x14ac:dyDescent="0.35">
      <c r="A31" s="59">
        <f>CUSTOMER!A31</f>
        <v>0</v>
      </c>
      <c r="B31" s="60" t="str">
        <f>CUSTOMER!B31</f>
        <v/>
      </c>
      <c r="C31" s="60" t="str">
        <f>CUSTOMER!C31</f>
        <v/>
      </c>
      <c r="D31" s="61" t="str">
        <f>CUSTOMER!D31</f>
        <v/>
      </c>
      <c r="E31" s="54" t="str">
        <f t="shared" si="6"/>
        <v/>
      </c>
      <c r="F31" s="55" t="str">
        <f>CUSTOMER!F31</f>
        <v/>
      </c>
      <c r="G31" s="62">
        <f>CUSTOMER!G31</f>
        <v>0</v>
      </c>
      <c r="H31" s="62">
        <f>CUSTOMER!H31</f>
        <v>0</v>
      </c>
      <c r="I31" s="63">
        <f t="shared" si="7"/>
        <v>0</v>
      </c>
      <c r="J31" s="61" t="str">
        <f>CUSTOMER!J31</f>
        <v/>
      </c>
      <c r="K31" s="61" t="str">
        <f>CUSTOMER!K31</f>
        <v/>
      </c>
      <c r="L31" s="224" t="str">
        <f t="shared" si="8"/>
        <v/>
      </c>
      <c r="M31" s="64" t="str">
        <f t="shared" si="9"/>
        <v/>
      </c>
      <c r="N31" s="58" t="str">
        <f t="shared" si="1"/>
        <v/>
      </c>
      <c r="O31" s="11" t="str">
        <f>IFERROR(VLOOKUP(D31,'Price Lists'!F:I,2,FALSE),"")</f>
        <v/>
      </c>
      <c r="P31" s="12" t="str">
        <f t="shared" si="10"/>
        <v/>
      </c>
      <c r="Q31" s="13">
        <f>IFERROR(VLOOKUP(CUSTOMER!$K31,'Price Lists'!$F$26:$I$56,4,0),0)*(1-'Price Lists'!N$2)</f>
        <v>0</v>
      </c>
      <c r="R31" s="13"/>
      <c r="S31" s="14"/>
      <c r="T31" s="13"/>
    </row>
    <row r="32" spans="1:20" s="5" customFormat="1" ht="31.5" customHeight="1" x14ac:dyDescent="0.35">
      <c r="A32" s="59">
        <f>CUSTOMER!A32</f>
        <v>0</v>
      </c>
      <c r="B32" s="60" t="str">
        <f>CUSTOMER!B32</f>
        <v/>
      </c>
      <c r="C32" s="60" t="str">
        <f>CUSTOMER!C32</f>
        <v/>
      </c>
      <c r="D32" s="61" t="str">
        <f>CUSTOMER!D32</f>
        <v/>
      </c>
      <c r="E32" s="54" t="str">
        <f t="shared" si="6"/>
        <v/>
      </c>
      <c r="F32" s="55" t="str">
        <f>CUSTOMER!F32</f>
        <v/>
      </c>
      <c r="G32" s="62">
        <f>CUSTOMER!G32</f>
        <v>0</v>
      </c>
      <c r="H32" s="62">
        <f>CUSTOMER!H32</f>
        <v>0</v>
      </c>
      <c r="I32" s="63">
        <f t="shared" si="7"/>
        <v>0</v>
      </c>
      <c r="J32" s="61" t="str">
        <f>CUSTOMER!J32</f>
        <v/>
      </c>
      <c r="K32" s="61" t="str">
        <f>CUSTOMER!K32</f>
        <v/>
      </c>
      <c r="L32" s="224" t="str">
        <f t="shared" si="8"/>
        <v/>
      </c>
      <c r="M32" s="64" t="str">
        <f t="shared" si="9"/>
        <v/>
      </c>
      <c r="N32" s="58" t="str">
        <f t="shared" si="1"/>
        <v/>
      </c>
      <c r="O32" s="11" t="str">
        <f>IFERROR(VLOOKUP(D32,'Price Lists'!F:I,2,FALSE),"")</f>
        <v/>
      </c>
      <c r="P32" s="12" t="str">
        <f t="shared" si="10"/>
        <v/>
      </c>
      <c r="Q32" s="13">
        <f>IFERROR(VLOOKUP(CUSTOMER!$K32,'Price Lists'!$F$26:$I$56,4,0),0)*(1-'Price Lists'!N$2)</f>
        <v>0</v>
      </c>
      <c r="R32" s="13"/>
      <c r="S32" s="14"/>
      <c r="T32" s="13"/>
    </row>
    <row r="33" spans="1:20" s="5" customFormat="1" ht="31.5" customHeight="1" x14ac:dyDescent="0.35">
      <c r="A33" s="59">
        <f>CUSTOMER!A33</f>
        <v>0</v>
      </c>
      <c r="B33" s="60" t="str">
        <f>CUSTOMER!B33</f>
        <v/>
      </c>
      <c r="C33" s="60" t="str">
        <f>CUSTOMER!C33</f>
        <v/>
      </c>
      <c r="D33" s="61" t="str">
        <f>CUSTOMER!D33</f>
        <v/>
      </c>
      <c r="E33" s="54" t="str">
        <f t="shared" si="6"/>
        <v/>
      </c>
      <c r="F33" s="55" t="str">
        <f>CUSTOMER!F33</f>
        <v/>
      </c>
      <c r="G33" s="62">
        <f>CUSTOMER!G33</f>
        <v>0</v>
      </c>
      <c r="H33" s="62">
        <f>CUSTOMER!H33</f>
        <v>0</v>
      </c>
      <c r="I33" s="63">
        <f t="shared" si="7"/>
        <v>0</v>
      </c>
      <c r="J33" s="61" t="str">
        <f>CUSTOMER!J33</f>
        <v/>
      </c>
      <c r="K33" s="61" t="str">
        <f>CUSTOMER!K33</f>
        <v/>
      </c>
      <c r="L33" s="224" t="str">
        <f t="shared" si="8"/>
        <v/>
      </c>
      <c r="M33" s="64" t="str">
        <f t="shared" si="9"/>
        <v/>
      </c>
      <c r="N33" s="58" t="str">
        <f t="shared" si="1"/>
        <v/>
      </c>
      <c r="O33" s="11" t="str">
        <f>IFERROR(VLOOKUP(D33,'Price Lists'!F:I,2,FALSE),"")</f>
        <v/>
      </c>
      <c r="P33" s="12" t="str">
        <f t="shared" si="10"/>
        <v/>
      </c>
      <c r="Q33" s="13">
        <f>IFERROR(VLOOKUP(CUSTOMER!$K33,'Price Lists'!$F$26:$I$56,4,0),0)*(1-'Price Lists'!N$2)</f>
        <v>0</v>
      </c>
      <c r="R33" s="13"/>
      <c r="S33" s="14"/>
      <c r="T33" s="13"/>
    </row>
    <row r="34" spans="1:20" s="5" customFormat="1" ht="31.5" customHeight="1" x14ac:dyDescent="0.35">
      <c r="A34" s="59">
        <f>CUSTOMER!A34</f>
        <v>0</v>
      </c>
      <c r="B34" s="60" t="str">
        <f>CUSTOMER!B34</f>
        <v/>
      </c>
      <c r="C34" s="60" t="str">
        <f>CUSTOMER!C34</f>
        <v/>
      </c>
      <c r="D34" s="61" t="str">
        <f>CUSTOMER!D34</f>
        <v/>
      </c>
      <c r="E34" s="54" t="str">
        <f t="shared" si="6"/>
        <v/>
      </c>
      <c r="F34" s="55" t="str">
        <f>CUSTOMER!F34</f>
        <v/>
      </c>
      <c r="G34" s="62">
        <f>CUSTOMER!G34</f>
        <v>0</v>
      </c>
      <c r="H34" s="62">
        <f>CUSTOMER!H34</f>
        <v>0</v>
      </c>
      <c r="I34" s="63">
        <f t="shared" si="7"/>
        <v>0</v>
      </c>
      <c r="J34" s="61" t="str">
        <f>CUSTOMER!J34</f>
        <v/>
      </c>
      <c r="K34" s="61" t="str">
        <f>CUSTOMER!K34</f>
        <v/>
      </c>
      <c r="L34" s="224" t="str">
        <f t="shared" si="8"/>
        <v/>
      </c>
      <c r="M34" s="64" t="str">
        <f t="shared" si="9"/>
        <v/>
      </c>
      <c r="N34" s="58" t="str">
        <f t="shared" si="1"/>
        <v/>
      </c>
      <c r="O34" s="11" t="str">
        <f>IFERROR(VLOOKUP(D34,'Price Lists'!F:I,2,FALSE),"")</f>
        <v/>
      </c>
      <c r="P34" s="12" t="str">
        <f t="shared" si="10"/>
        <v/>
      </c>
      <c r="Q34" s="13">
        <f>IFERROR(VLOOKUP(CUSTOMER!$K34,'Price Lists'!$F$26:$I$56,4,0),0)*(1-'Price Lists'!N$2)</f>
        <v>0</v>
      </c>
      <c r="R34" s="13"/>
      <c r="S34" s="14"/>
      <c r="T34" s="13"/>
    </row>
    <row r="35" spans="1:20" s="5" customFormat="1" ht="31.5" customHeight="1" x14ac:dyDescent="0.35">
      <c r="A35" s="59">
        <f>CUSTOMER!A35</f>
        <v>0</v>
      </c>
      <c r="B35" s="60" t="str">
        <f>CUSTOMER!B35</f>
        <v/>
      </c>
      <c r="C35" s="60" t="str">
        <f>CUSTOMER!C35</f>
        <v/>
      </c>
      <c r="D35" s="61" t="str">
        <f>CUSTOMER!D35</f>
        <v/>
      </c>
      <c r="E35" s="54" t="str">
        <f t="shared" si="6"/>
        <v/>
      </c>
      <c r="F35" s="55" t="str">
        <f>CUSTOMER!F35</f>
        <v/>
      </c>
      <c r="G35" s="62">
        <f>CUSTOMER!G35</f>
        <v>0</v>
      </c>
      <c r="H35" s="62">
        <f>CUSTOMER!H35</f>
        <v>0</v>
      </c>
      <c r="I35" s="63">
        <f t="shared" si="7"/>
        <v>0</v>
      </c>
      <c r="J35" s="61" t="str">
        <f>CUSTOMER!J35</f>
        <v/>
      </c>
      <c r="K35" s="61" t="str">
        <f>CUSTOMER!K35</f>
        <v/>
      </c>
      <c r="L35" s="224" t="str">
        <f t="shared" si="8"/>
        <v/>
      </c>
      <c r="M35" s="64" t="str">
        <f t="shared" si="9"/>
        <v/>
      </c>
      <c r="N35" s="58" t="str">
        <f t="shared" si="1"/>
        <v/>
      </c>
      <c r="O35" s="11" t="str">
        <f>IFERROR(VLOOKUP(D35,'Price Lists'!F:I,2,FALSE),"")</f>
        <v/>
      </c>
      <c r="P35" s="12" t="str">
        <f t="shared" si="10"/>
        <v/>
      </c>
      <c r="Q35" s="13">
        <f>IFERROR(VLOOKUP(CUSTOMER!$K35,'Price Lists'!$F$26:$I$56,4,0),0)*(1-'Price Lists'!N$2)</f>
        <v>0</v>
      </c>
      <c r="R35" s="13"/>
      <c r="S35" s="14"/>
      <c r="T35" s="13"/>
    </row>
    <row r="36" spans="1:20" s="5" customFormat="1" ht="31.5" customHeight="1" x14ac:dyDescent="0.35">
      <c r="A36" s="59">
        <f>CUSTOMER!A36</f>
        <v>0</v>
      </c>
      <c r="B36" s="60" t="str">
        <f>CUSTOMER!B36</f>
        <v/>
      </c>
      <c r="C36" s="60" t="str">
        <f>CUSTOMER!C36</f>
        <v/>
      </c>
      <c r="D36" s="61" t="str">
        <f>CUSTOMER!D36</f>
        <v/>
      </c>
      <c r="E36" s="54" t="str">
        <f t="shared" si="6"/>
        <v/>
      </c>
      <c r="F36" s="55" t="str">
        <f>CUSTOMER!F36</f>
        <v/>
      </c>
      <c r="G36" s="62">
        <f>CUSTOMER!G36</f>
        <v>0</v>
      </c>
      <c r="H36" s="62">
        <f>CUSTOMER!H36</f>
        <v>0</v>
      </c>
      <c r="I36" s="63">
        <f t="shared" si="7"/>
        <v>0</v>
      </c>
      <c r="J36" s="61" t="str">
        <f>CUSTOMER!J36</f>
        <v/>
      </c>
      <c r="K36" s="61" t="str">
        <f>CUSTOMER!K36</f>
        <v/>
      </c>
      <c r="L36" s="224" t="str">
        <f t="shared" si="8"/>
        <v/>
      </c>
      <c r="M36" s="64" t="str">
        <f t="shared" si="9"/>
        <v/>
      </c>
      <c r="N36" s="58" t="str">
        <f t="shared" si="1"/>
        <v/>
      </c>
      <c r="O36" s="11" t="str">
        <f>IFERROR(VLOOKUP(D36,'Price Lists'!F:I,2,FALSE),"")</f>
        <v/>
      </c>
      <c r="P36" s="12" t="str">
        <f t="shared" si="10"/>
        <v/>
      </c>
      <c r="Q36" s="13">
        <f>IFERROR(VLOOKUP(CUSTOMER!$K36,'Price Lists'!$F$26:$I$56,4,0),0)*(1-'Price Lists'!N$2)</f>
        <v>0</v>
      </c>
      <c r="R36" s="13"/>
      <c r="S36" s="14"/>
      <c r="T36" s="13"/>
    </row>
    <row r="37" spans="1:20" s="5" customFormat="1" ht="31.5" customHeight="1" x14ac:dyDescent="0.35">
      <c r="A37" s="59">
        <f>CUSTOMER!A37</f>
        <v>0</v>
      </c>
      <c r="B37" s="60" t="str">
        <f>CUSTOMER!B37</f>
        <v/>
      </c>
      <c r="C37" s="60" t="str">
        <f>CUSTOMER!C37</f>
        <v/>
      </c>
      <c r="D37" s="61" t="str">
        <f>CUSTOMER!D37</f>
        <v/>
      </c>
      <c r="E37" s="54" t="str">
        <f t="shared" si="6"/>
        <v/>
      </c>
      <c r="F37" s="55" t="str">
        <f>CUSTOMER!F37</f>
        <v/>
      </c>
      <c r="G37" s="62">
        <f>CUSTOMER!G37</f>
        <v>0</v>
      </c>
      <c r="H37" s="62">
        <f>CUSTOMER!H37</f>
        <v>0</v>
      </c>
      <c r="I37" s="63">
        <f t="shared" si="7"/>
        <v>0</v>
      </c>
      <c r="J37" s="61" t="str">
        <f>CUSTOMER!J37</f>
        <v/>
      </c>
      <c r="K37" s="61" t="str">
        <f>CUSTOMER!K37</f>
        <v/>
      </c>
      <c r="L37" s="224" t="str">
        <f t="shared" si="8"/>
        <v/>
      </c>
      <c r="M37" s="64" t="str">
        <f t="shared" si="9"/>
        <v/>
      </c>
      <c r="N37" s="58" t="str">
        <f t="shared" si="1"/>
        <v/>
      </c>
      <c r="O37" s="11" t="str">
        <f>IFERROR(VLOOKUP(D37,'Price Lists'!F:I,2,FALSE),"")</f>
        <v/>
      </c>
      <c r="P37" s="12" t="str">
        <f t="shared" si="10"/>
        <v/>
      </c>
      <c r="Q37" s="13">
        <f>IFERROR(VLOOKUP(CUSTOMER!$K37,'Price Lists'!$F$26:$I$56,4,0),0)*(1-'Price Lists'!N$2)</f>
        <v>0</v>
      </c>
      <c r="R37" s="13"/>
      <c r="S37" s="14"/>
      <c r="T37" s="13"/>
    </row>
    <row r="38" spans="1:20" s="5" customFormat="1" ht="31.5" customHeight="1" x14ac:dyDescent="0.35">
      <c r="A38" s="59">
        <f>CUSTOMER!A38</f>
        <v>0</v>
      </c>
      <c r="B38" s="60" t="str">
        <f>CUSTOMER!B38</f>
        <v/>
      </c>
      <c r="C38" s="60" t="str">
        <f>CUSTOMER!C38</f>
        <v/>
      </c>
      <c r="D38" s="61" t="str">
        <f>CUSTOMER!D38</f>
        <v/>
      </c>
      <c r="E38" s="54" t="str">
        <f t="shared" si="6"/>
        <v/>
      </c>
      <c r="F38" s="55" t="str">
        <f>CUSTOMER!F38</f>
        <v/>
      </c>
      <c r="G38" s="62">
        <f>CUSTOMER!G38</f>
        <v>0</v>
      </c>
      <c r="H38" s="62">
        <f>CUSTOMER!H38</f>
        <v>0</v>
      </c>
      <c r="I38" s="63">
        <f t="shared" si="7"/>
        <v>0</v>
      </c>
      <c r="J38" s="61" t="str">
        <f>CUSTOMER!J38</f>
        <v/>
      </c>
      <c r="K38" s="61" t="str">
        <f>CUSTOMER!K38</f>
        <v/>
      </c>
      <c r="L38" s="224" t="str">
        <f t="shared" si="8"/>
        <v/>
      </c>
      <c r="M38" s="64" t="str">
        <f t="shared" si="9"/>
        <v/>
      </c>
      <c r="N38" s="58" t="str">
        <f t="shared" si="1"/>
        <v/>
      </c>
      <c r="O38" s="11" t="str">
        <f>IFERROR(VLOOKUP(D38,'Price Lists'!F:I,2,FALSE),"")</f>
        <v/>
      </c>
      <c r="P38" s="12" t="str">
        <f t="shared" si="10"/>
        <v/>
      </c>
      <c r="Q38" s="13">
        <f>IFERROR(VLOOKUP(CUSTOMER!$K38,'Price Lists'!$F$26:$I$56,4,0),0)*(1-'Price Lists'!N$2)</f>
        <v>0</v>
      </c>
      <c r="R38" s="13"/>
      <c r="S38" s="14"/>
      <c r="T38" s="13"/>
    </row>
    <row r="39" spans="1:20" s="5" customFormat="1" ht="31.5" customHeight="1" x14ac:dyDescent="0.35">
      <c r="A39" s="59">
        <f>CUSTOMER!A39</f>
        <v>0</v>
      </c>
      <c r="B39" s="60" t="str">
        <f>CUSTOMER!B39</f>
        <v/>
      </c>
      <c r="C39" s="60" t="str">
        <f>CUSTOMER!C39</f>
        <v/>
      </c>
      <c r="D39" s="61" t="str">
        <f>CUSTOMER!D39</f>
        <v/>
      </c>
      <c r="E39" s="54" t="str">
        <f t="shared" si="6"/>
        <v/>
      </c>
      <c r="F39" s="55" t="str">
        <f>CUSTOMER!F39</f>
        <v/>
      </c>
      <c r="G39" s="62">
        <f>CUSTOMER!G39</f>
        <v>0</v>
      </c>
      <c r="H39" s="62">
        <f>CUSTOMER!H39</f>
        <v>0</v>
      </c>
      <c r="I39" s="63">
        <f t="shared" si="7"/>
        <v>0</v>
      </c>
      <c r="J39" s="61" t="str">
        <f>CUSTOMER!J39</f>
        <v/>
      </c>
      <c r="K39" s="61" t="str">
        <f>CUSTOMER!K39</f>
        <v/>
      </c>
      <c r="L39" s="224" t="str">
        <f t="shared" si="8"/>
        <v/>
      </c>
      <c r="M39" s="64" t="str">
        <f t="shared" si="9"/>
        <v/>
      </c>
      <c r="N39" s="58" t="str">
        <f t="shared" si="1"/>
        <v/>
      </c>
      <c r="O39" s="11" t="str">
        <f>IFERROR(VLOOKUP(D39,'Price Lists'!F:I,2,FALSE),"")</f>
        <v/>
      </c>
      <c r="P39" s="12" t="str">
        <f t="shared" si="10"/>
        <v/>
      </c>
      <c r="Q39" s="13">
        <f>IFERROR(VLOOKUP(CUSTOMER!$K39,'Price Lists'!$F$26:$I$56,4,0),0)*(1-'Price Lists'!N$2)</f>
        <v>0</v>
      </c>
      <c r="R39" s="13"/>
      <c r="S39" s="14"/>
      <c r="T39" s="13"/>
    </row>
    <row r="40" spans="1:20" s="5" customFormat="1" ht="31.5" customHeight="1" x14ac:dyDescent="0.35">
      <c r="A40" s="59">
        <f>CUSTOMER!A40</f>
        <v>0</v>
      </c>
      <c r="B40" s="60" t="str">
        <f>CUSTOMER!B40</f>
        <v/>
      </c>
      <c r="C40" s="60" t="str">
        <f>CUSTOMER!C40</f>
        <v/>
      </c>
      <c r="D40" s="61" t="str">
        <f>CUSTOMER!D40</f>
        <v/>
      </c>
      <c r="E40" s="54" t="str">
        <f t="shared" si="6"/>
        <v/>
      </c>
      <c r="F40" s="55" t="str">
        <f>CUSTOMER!F40</f>
        <v/>
      </c>
      <c r="G40" s="62">
        <f>CUSTOMER!G40</f>
        <v>0</v>
      </c>
      <c r="H40" s="62">
        <f>CUSTOMER!H40</f>
        <v>0</v>
      </c>
      <c r="I40" s="63">
        <f t="shared" si="7"/>
        <v>0</v>
      </c>
      <c r="J40" s="61" t="str">
        <f>CUSTOMER!J40</f>
        <v/>
      </c>
      <c r="K40" s="61" t="str">
        <f>CUSTOMER!K40</f>
        <v/>
      </c>
      <c r="L40" s="224" t="str">
        <f t="shared" si="8"/>
        <v/>
      </c>
      <c r="M40" s="64" t="str">
        <f t="shared" si="9"/>
        <v/>
      </c>
      <c r="N40" s="58" t="str">
        <f t="shared" si="1"/>
        <v/>
      </c>
      <c r="O40" s="11" t="str">
        <f>IFERROR(VLOOKUP(D40,'Price Lists'!F:I,2,FALSE),"")</f>
        <v/>
      </c>
      <c r="P40" s="12" t="str">
        <f t="shared" si="10"/>
        <v/>
      </c>
      <c r="Q40" s="13">
        <f>IFERROR(VLOOKUP(CUSTOMER!$K40,'Price Lists'!$F$26:$I$56,4,0),0)*(1-'Price Lists'!N$2)</f>
        <v>0</v>
      </c>
      <c r="R40" s="13"/>
      <c r="S40" s="14"/>
      <c r="T40" s="13"/>
    </row>
    <row r="41" spans="1:20" s="5" customFormat="1" ht="31.5" customHeight="1" x14ac:dyDescent="0.35">
      <c r="A41" s="59">
        <f>CUSTOMER!A41</f>
        <v>0</v>
      </c>
      <c r="B41" s="60" t="str">
        <f>CUSTOMER!B41</f>
        <v/>
      </c>
      <c r="C41" s="60" t="str">
        <f>CUSTOMER!C41</f>
        <v/>
      </c>
      <c r="D41" s="61" t="str">
        <f>CUSTOMER!D41</f>
        <v/>
      </c>
      <c r="E41" s="54" t="str">
        <f t="shared" si="6"/>
        <v/>
      </c>
      <c r="F41" s="55" t="str">
        <f>CUSTOMER!F41</f>
        <v/>
      </c>
      <c r="G41" s="62">
        <f>CUSTOMER!G41</f>
        <v>0</v>
      </c>
      <c r="H41" s="62">
        <f>CUSTOMER!H41</f>
        <v>0</v>
      </c>
      <c r="I41" s="63">
        <f t="shared" si="7"/>
        <v>0</v>
      </c>
      <c r="J41" s="61" t="str">
        <f>CUSTOMER!J41</f>
        <v/>
      </c>
      <c r="K41" s="61" t="str">
        <f>CUSTOMER!K41</f>
        <v/>
      </c>
      <c r="L41" s="224" t="str">
        <f t="shared" si="8"/>
        <v/>
      </c>
      <c r="M41" s="64" t="str">
        <f t="shared" si="9"/>
        <v/>
      </c>
      <c r="N41" s="58" t="str">
        <f t="shared" si="1"/>
        <v/>
      </c>
      <c r="O41" s="11" t="str">
        <f>IFERROR(VLOOKUP(D41,'Price Lists'!F:I,2,FALSE),"")</f>
        <v/>
      </c>
      <c r="P41" s="12" t="str">
        <f t="shared" si="10"/>
        <v/>
      </c>
      <c r="Q41" s="13">
        <f>IFERROR(VLOOKUP(CUSTOMER!$K41,'Price Lists'!$F$26:$I$56,4,0),0)*(1-'Price Lists'!N$2)</f>
        <v>0</v>
      </c>
      <c r="R41" s="13"/>
      <c r="S41" s="14"/>
      <c r="T41" s="13"/>
    </row>
    <row r="42" spans="1:20" s="5" customFormat="1" ht="31.5" customHeight="1" x14ac:dyDescent="0.35">
      <c r="A42" s="59">
        <f>CUSTOMER!A42</f>
        <v>0</v>
      </c>
      <c r="B42" s="60" t="str">
        <f>CUSTOMER!B42</f>
        <v/>
      </c>
      <c r="C42" s="60" t="str">
        <f>CUSTOMER!C42</f>
        <v/>
      </c>
      <c r="D42" s="61" t="str">
        <f>CUSTOMER!D42</f>
        <v/>
      </c>
      <c r="E42" s="54" t="str">
        <f t="shared" si="6"/>
        <v/>
      </c>
      <c r="F42" s="55" t="str">
        <f>CUSTOMER!F42</f>
        <v/>
      </c>
      <c r="G42" s="62">
        <f>CUSTOMER!G42</f>
        <v>0</v>
      </c>
      <c r="H42" s="62">
        <f>CUSTOMER!H42</f>
        <v>0</v>
      </c>
      <c r="I42" s="63">
        <f t="shared" si="7"/>
        <v>0</v>
      </c>
      <c r="J42" s="61" t="str">
        <f>CUSTOMER!J42</f>
        <v/>
      </c>
      <c r="K42" s="61" t="str">
        <f>CUSTOMER!K42</f>
        <v/>
      </c>
      <c r="L42" s="224" t="str">
        <f t="shared" si="8"/>
        <v/>
      </c>
      <c r="M42" s="64" t="str">
        <f t="shared" si="9"/>
        <v/>
      </c>
      <c r="N42" s="58" t="str">
        <f t="shared" si="1"/>
        <v/>
      </c>
      <c r="O42" s="11" t="str">
        <f>IFERROR(VLOOKUP(D42,'Price Lists'!F:I,2,FALSE),"")</f>
        <v/>
      </c>
      <c r="P42" s="12" t="str">
        <f t="shared" si="10"/>
        <v/>
      </c>
      <c r="Q42" s="13">
        <f>IFERROR(VLOOKUP(CUSTOMER!$K42,'Price Lists'!$F$26:$I$56,4,0),0)*(1-'Price Lists'!N$2)</f>
        <v>0</v>
      </c>
      <c r="R42" s="13"/>
      <c r="S42" s="14"/>
      <c r="T42" s="13"/>
    </row>
    <row r="43" spans="1:20" s="5" customFormat="1" ht="31.5" customHeight="1" x14ac:dyDescent="0.35">
      <c r="A43" s="59">
        <f>CUSTOMER!A43</f>
        <v>0</v>
      </c>
      <c r="B43" s="60" t="str">
        <f>CUSTOMER!B43</f>
        <v/>
      </c>
      <c r="C43" s="60" t="str">
        <f>CUSTOMER!C43</f>
        <v/>
      </c>
      <c r="D43" s="61" t="str">
        <f>CUSTOMER!D43</f>
        <v/>
      </c>
      <c r="E43" s="54" t="str">
        <f t="shared" si="6"/>
        <v/>
      </c>
      <c r="F43" s="55" t="str">
        <f>CUSTOMER!F43</f>
        <v/>
      </c>
      <c r="G43" s="62">
        <f>CUSTOMER!G43</f>
        <v>0</v>
      </c>
      <c r="H43" s="62">
        <f>CUSTOMER!H43</f>
        <v>0</v>
      </c>
      <c r="I43" s="63">
        <f t="shared" si="7"/>
        <v>0</v>
      </c>
      <c r="J43" s="61" t="str">
        <f>CUSTOMER!J43</f>
        <v/>
      </c>
      <c r="K43" s="61" t="str">
        <f>CUSTOMER!K43</f>
        <v/>
      </c>
      <c r="L43" s="224" t="str">
        <f t="shared" si="8"/>
        <v/>
      </c>
      <c r="M43" s="64" t="str">
        <f t="shared" si="9"/>
        <v/>
      </c>
      <c r="N43" s="58" t="str">
        <f t="shared" si="1"/>
        <v/>
      </c>
      <c r="O43" s="11" t="str">
        <f>IFERROR(VLOOKUP(D43,'Price Lists'!F:I,2,FALSE),"")</f>
        <v/>
      </c>
      <c r="P43" s="12" t="str">
        <f t="shared" si="10"/>
        <v/>
      </c>
      <c r="Q43" s="13">
        <f>IFERROR(VLOOKUP(CUSTOMER!$K43,'Price Lists'!$F$26:$I$56,4,0),0)*(1-'Price Lists'!N$2)</f>
        <v>0</v>
      </c>
      <c r="R43" s="13"/>
      <c r="S43" s="14"/>
      <c r="T43" s="13"/>
    </row>
    <row r="44" spans="1:20" s="5" customFormat="1" ht="31.5" customHeight="1" thickBot="1" x14ac:dyDescent="0.4">
      <c r="A44" s="59">
        <f>CUSTOMER!A44</f>
        <v>0</v>
      </c>
      <c r="B44" s="60" t="str">
        <f>CUSTOMER!B44</f>
        <v/>
      </c>
      <c r="C44" s="60" t="str">
        <f>CUSTOMER!C44</f>
        <v/>
      </c>
      <c r="D44" s="61" t="str">
        <f>CUSTOMER!D44</f>
        <v/>
      </c>
      <c r="E44" s="54" t="str">
        <f t="shared" si="6"/>
        <v/>
      </c>
      <c r="F44" s="55" t="str">
        <f>CUSTOMER!F44</f>
        <v/>
      </c>
      <c r="G44" s="62">
        <f>CUSTOMER!G44</f>
        <v>0</v>
      </c>
      <c r="H44" s="62">
        <f>CUSTOMER!H44</f>
        <v>0</v>
      </c>
      <c r="I44" s="63">
        <f t="shared" si="7"/>
        <v>0</v>
      </c>
      <c r="J44" s="61" t="str">
        <f>CUSTOMER!J44</f>
        <v/>
      </c>
      <c r="K44" s="61" t="str">
        <f>CUSTOMER!K44</f>
        <v/>
      </c>
      <c r="L44" s="224" t="str">
        <f t="shared" si="8"/>
        <v/>
      </c>
      <c r="M44" s="64" t="str">
        <f t="shared" si="9"/>
        <v/>
      </c>
      <c r="N44" s="58" t="str">
        <f t="shared" si="1"/>
        <v/>
      </c>
      <c r="O44" s="11" t="str">
        <f>IFERROR(VLOOKUP(D44,'Price Lists'!F:I,2,FALSE),"")</f>
        <v/>
      </c>
      <c r="P44" s="12" t="str">
        <f t="shared" si="10"/>
        <v/>
      </c>
      <c r="Q44" s="13">
        <f>IFERROR(VLOOKUP(CUSTOMER!$K44,'Price Lists'!$F$26:$I$56,4,0),0)*(1-'Price Lists'!N$2)</f>
        <v>0</v>
      </c>
      <c r="R44" s="13"/>
      <c r="S44" s="14"/>
      <c r="T44" s="13"/>
    </row>
    <row r="45" spans="1:20" s="5" customFormat="1" ht="22.5" customHeight="1" x14ac:dyDescent="0.35">
      <c r="A45" s="256" t="str">
        <f>CUSTOMER!A45</f>
        <v>NOTES:</v>
      </c>
      <c r="B45" s="257"/>
      <c r="C45" s="257"/>
      <c r="D45" s="257"/>
      <c r="E45" s="257"/>
      <c r="F45" s="257"/>
      <c r="G45" s="257"/>
      <c r="H45" s="257"/>
      <c r="I45" s="257"/>
      <c r="J45" s="257"/>
      <c r="K45" s="121" t="s">
        <v>109</v>
      </c>
      <c r="L45" s="122"/>
      <c r="M45" s="273">
        <f>SUM(A15:A44)</f>
        <v>0</v>
      </c>
      <c r="N45" s="274"/>
      <c r="O45" s="11"/>
      <c r="P45" s="13"/>
      <c r="Q45" s="13"/>
      <c r="R45" s="13"/>
      <c r="S45" s="14"/>
      <c r="T45" s="13"/>
    </row>
    <row r="46" spans="1:20" s="5" customFormat="1" ht="22.5" customHeight="1" x14ac:dyDescent="0.35">
      <c r="A46" s="258"/>
      <c r="B46" s="259"/>
      <c r="C46" s="259"/>
      <c r="D46" s="259"/>
      <c r="E46" s="259"/>
      <c r="F46" s="259"/>
      <c r="G46" s="259"/>
      <c r="H46" s="259"/>
      <c r="I46" s="259"/>
      <c r="J46" s="259"/>
      <c r="K46" s="123" t="s">
        <v>31</v>
      </c>
      <c r="L46" s="124"/>
      <c r="M46" s="241" t="str">
        <f>IF(M45&gt;0,SUM(N15:N44)," ")</f>
        <v xml:space="preserve"> </v>
      </c>
      <c r="N46" s="275"/>
      <c r="O46" s="11"/>
      <c r="P46" s="13"/>
      <c r="Q46" s="13"/>
      <c r="R46" s="13"/>
      <c r="S46" s="14"/>
      <c r="T46" s="13"/>
    </row>
    <row r="47" spans="1:20" s="5" customFormat="1" ht="22.5" customHeight="1" x14ac:dyDescent="0.35">
      <c r="A47" s="258"/>
      <c r="B47" s="259"/>
      <c r="C47" s="259"/>
      <c r="D47" s="259"/>
      <c r="E47" s="259"/>
      <c r="F47" s="259"/>
      <c r="G47" s="259"/>
      <c r="H47" s="259"/>
      <c r="I47" s="259"/>
      <c r="J47" s="259"/>
      <c r="K47" s="123" t="s">
        <v>110</v>
      </c>
      <c r="L47" s="124"/>
      <c r="M47" s="241">
        <f>CUSTOMER!M47</f>
        <v>0</v>
      </c>
      <c r="N47" s="275"/>
      <c r="O47" s="11"/>
      <c r="P47" s="13"/>
      <c r="Q47" s="13"/>
      <c r="R47" s="13"/>
      <c r="S47" s="14"/>
      <c r="T47" s="13"/>
    </row>
    <row r="48" spans="1:20" s="5" customFormat="1" ht="22.5" customHeight="1" thickBot="1" x14ac:dyDescent="0.4">
      <c r="A48" s="260"/>
      <c r="B48" s="261"/>
      <c r="C48" s="261"/>
      <c r="D48" s="261"/>
      <c r="E48" s="261"/>
      <c r="F48" s="261"/>
      <c r="G48" s="261"/>
      <c r="H48" s="261"/>
      <c r="I48" s="261"/>
      <c r="J48" s="261"/>
      <c r="K48" s="125" t="s">
        <v>108</v>
      </c>
      <c r="L48" s="126"/>
      <c r="M48" s="296" t="str">
        <f>IF(M45&gt;0,(M46+M47),"")</f>
        <v/>
      </c>
      <c r="N48" s="297"/>
      <c r="O48" s="11"/>
      <c r="P48" s="13"/>
      <c r="Q48" s="13"/>
      <c r="R48" s="13"/>
      <c r="S48" s="14"/>
      <c r="T48" s="13"/>
    </row>
    <row r="49" spans="1:20" s="9" customFormat="1" ht="15.5" x14ac:dyDescent="0.35">
      <c r="A49" s="65"/>
      <c r="B49" s="66"/>
      <c r="C49" s="66"/>
      <c r="D49" s="66"/>
      <c r="E49" s="66"/>
      <c r="F49" s="66"/>
      <c r="G49" s="66"/>
      <c r="H49" s="66"/>
      <c r="I49" s="66"/>
      <c r="J49" s="65"/>
      <c r="K49" s="65"/>
      <c r="L49" s="67"/>
      <c r="M49" s="66"/>
      <c r="N49" s="68"/>
      <c r="O49" s="78"/>
      <c r="P49" s="53"/>
      <c r="Q49" s="53"/>
      <c r="R49" s="53"/>
      <c r="S49" s="53"/>
      <c r="T49" s="53"/>
    </row>
  </sheetData>
  <dataConsolidate/>
  <mergeCells count="26">
    <mergeCell ref="O12:T12"/>
    <mergeCell ref="A45:J48"/>
    <mergeCell ref="M45:N45"/>
    <mergeCell ref="A13:J13"/>
    <mergeCell ref="M46:N46"/>
    <mergeCell ref="M47:N47"/>
    <mergeCell ref="M48:N48"/>
    <mergeCell ref="B12:M12"/>
    <mergeCell ref="C9:F9"/>
    <mergeCell ref="K9:N9"/>
    <mergeCell ref="A10:N10"/>
    <mergeCell ref="A9:B9"/>
    <mergeCell ref="A11:N11"/>
    <mergeCell ref="A1:N1"/>
    <mergeCell ref="C3:F3"/>
    <mergeCell ref="C4:F4"/>
    <mergeCell ref="A3:B3"/>
    <mergeCell ref="A4:B4"/>
    <mergeCell ref="A7:B7"/>
    <mergeCell ref="A8:B8"/>
    <mergeCell ref="A5:B5"/>
    <mergeCell ref="A6:B6"/>
    <mergeCell ref="C8:F8"/>
    <mergeCell ref="C7:F7"/>
    <mergeCell ref="C5:F5"/>
    <mergeCell ref="C6:F6"/>
  </mergeCells>
  <conditionalFormatting sqref="M16:M44">
    <cfRule type="cellIs" dxfId="3" priority="1" stopIfTrue="1" operator="equal">
      <formula>FALSE</formula>
    </cfRule>
  </conditionalFormatting>
  <dataValidations count="5">
    <dataValidation type="list" allowBlank="1" showInputMessage="1" showErrorMessage="1" sqref="SR15:SR44 ACN15:ACN44 AMJ15:AMJ44 AWF15:AWF44 BGB15:BGB44 BPX15:BPX44 BZT15:BZT44 CJP15:CJP44 CTL15:CTL44 DDH15:DDH44 DND15:DND44 DWZ15:DWZ44 EGV15:EGV44 EQR15:EQR44 FAN15:FAN44 FKJ15:FKJ44 FUF15:FUF44 GEB15:GEB44 GNX15:GNX44 GXT15:GXT44 HHP15:HHP44 HRL15:HRL44 IBH15:IBH44 ILD15:ILD44 IUZ15:IUZ44 JEV15:JEV44 JOR15:JOR44 JYN15:JYN44 KIJ15:KIJ44 KSF15:KSF44 LCB15:LCB44 LLX15:LLX44 LVT15:LVT44 MFP15:MFP44 MPL15:MPL44 MZH15:MZH44 NJD15:NJD44 NSZ15:NSZ44 OCV15:OCV44 OMR15:OMR44 OWN15:OWN44 PGJ15:PGJ44 PQF15:PQF44 QAB15:QAB44 QJX15:QJX44 QTT15:QTT44 RDP15:RDP44 RNL15:RNL44 RXH15:RXH44 SHD15:SHD44 SQZ15:SQZ44 TAV15:TAV44 TKR15:TKR44 TUN15:TUN44 UEJ15:UEJ44 UOF15:UOF44 UYB15:UYB44 VHX15:VHX44 VRT15:VRT44 WBP15:WBP44 WLL15:WLL44 WVH15:WVH44 IV15:IV44" xr:uid="{00000000-0002-0000-0100-000000000000}">
      <formula1>INDIRECT(SUBSTITUTE(IT15&amp;IU15," ",""))</formula1>
    </dataValidation>
    <dataValidation type="list" allowBlank="1" showInputMessage="1" showErrorMessage="1" sqref="SQ15:SQ44 ACM15:ACM44 AMI15:AMI44 AWE15:AWE44 BGA15:BGA44 BPW15:BPW44 BZS15:BZS44 CJO15:CJO44 CTK15:CTK44 DDG15:DDG44 DNC15:DNC44 DWY15:DWY44 EGU15:EGU44 EQQ15:EQQ44 FAM15:FAM44 FKI15:FKI44 FUE15:FUE44 GEA15:GEA44 GNW15:GNW44 GXS15:GXS44 HHO15:HHO44 HRK15:HRK44 IBG15:IBG44 ILC15:ILC44 IUY15:IUY44 JEU15:JEU44 JOQ15:JOQ44 JYM15:JYM44 KII15:KII44 KSE15:KSE44 LCA15:LCA44 LLW15:LLW44 LVS15:LVS44 MFO15:MFO44 MPK15:MPK44 MZG15:MZG44 NJC15:NJC44 NSY15:NSY44 OCU15:OCU44 OMQ15:OMQ44 OWM15:OWM44 PGI15:PGI44 PQE15:PQE44 QAA15:QAA44 QJW15:QJW44 QTS15:QTS44 RDO15:RDO44 RNK15:RNK44 RXG15:RXG44 SHC15:SHC44 SQY15:SQY44 TAU15:TAU44 TKQ15:TKQ44 TUM15:TUM44 UEI15:UEI44 UOE15:UOE44 UYA15:UYA44 VHW15:VHW44 VRS15:VRS44 WBO15:WBO44 WLK15:WLK44 WVG15:WVG44 IU15:IU44 D15:D44" xr:uid="{00000000-0002-0000-0100-000001000000}">
      <formula1>INDIRECT(SUBSTITUTE(C15," ",""))</formula1>
    </dataValidation>
    <dataValidation type="list" allowBlank="1" showInputMessage="1" showErrorMessage="1" sqref="IT15:IT44 WVF15:WVF44 WLJ15:WLJ44 WBN15:WBN44 VRR15:VRR44 VHV15:VHV44 UXZ15:UXZ44 UOD15:UOD44 UEH15:UEH44 TUL15:TUL44 TKP15:TKP44 TAT15:TAT44 SQX15:SQX44 SHB15:SHB44 RXF15:RXF44 RNJ15:RNJ44 RDN15:RDN44 QTR15:QTR44 QJV15:QJV44 PZZ15:PZZ44 PQD15:PQD44 PGH15:PGH44 OWL15:OWL44 OMP15:OMP44 OCT15:OCT44 NSX15:NSX44 NJB15:NJB44 MZF15:MZF44 MPJ15:MPJ44 MFN15:MFN44 LVR15:LVR44 LLV15:LLV44 LBZ15:LBZ44 KSD15:KSD44 KIH15:KIH44 JYL15:JYL44 JOP15:JOP44 JET15:JET44 IUX15:IUX44 ILB15:ILB44 IBF15:IBF44 HRJ15:HRJ44 HHN15:HHN44 GXR15:GXR44 GNV15:GNV44 GDZ15:GDZ44 FUD15:FUD44 FKH15:FKH44 FAL15:FAL44 EQP15:EQP44 EGT15:EGT44 DWX15:DWX44 DNB15:DNB44 DDF15:DDF44 CTJ15:CTJ44 CJN15:CJN44 BZR15:BZR44 BPV15:BPV44 BFZ15:BFZ44 AWD15:AWD44 AMH15:AMH44 ACL15:ACL44 SP15:SP44" xr:uid="{00000000-0002-0000-0100-000002000000}">
      <formula1>ColorList</formula1>
    </dataValidation>
    <dataValidation type="list" allowBlank="1" showInputMessage="1" showErrorMessage="1" sqref="IW15:IW44 WVI15:WVI44 WLM15:WLM44 WBQ15:WBQ44 VRU15:VRU44 VHY15:VHY44 UYC15:UYC44 UOG15:UOG44 UEK15:UEK44 TUO15:TUO44 TKS15:TKS44 TAW15:TAW44 SRA15:SRA44 SHE15:SHE44 RXI15:RXI44 RNM15:RNM44 RDQ15:RDQ44 QTU15:QTU44 QJY15:QJY44 QAC15:QAC44 PQG15:PQG44 PGK15:PGK44 OWO15:OWO44 OMS15:OMS44 OCW15:OCW44 NTA15:NTA44 NJE15:NJE44 MZI15:MZI44 MPM15:MPM44 MFQ15:MFQ44 LVU15:LVU44 LLY15:LLY44 LCC15:LCC44 KSG15:KSG44 KIK15:KIK44 JYO15:JYO44 JOS15:JOS44 JEW15:JEW44 IVA15:IVA44 ILE15:ILE44 IBI15:IBI44 HRM15:HRM44 HHQ15:HHQ44 GXU15:GXU44 GNY15:GNY44 GEC15:GEC44 FUG15:FUG44 FKK15:FKK44 FAO15:FAO44 EQS15:EQS44 EGW15:EGW44 DXA15:DXA44 DNE15:DNE44 DDI15:DDI44 CTM15:CTM44 CJQ15:CJQ44 BZU15:BZU44 BPY15:BPY44 BGC15:BGC44 AWG15:AWG44 AMK15:AMK44 ACO15:ACO44 SS15:SS44" xr:uid="{00000000-0002-0000-0100-000003000000}">
      <formula1>PANEL</formula1>
    </dataValidation>
    <dataValidation type="list" allowBlank="1" showInputMessage="1" showErrorMessage="1" sqref="IX15:IX44 ST15:ST44 ACP15:ACP44 AML15:AML44 AWH15:AWH44 BGD15:BGD44 BPZ15:BPZ44 BZV15:BZV44 CJR15:CJR44 CTN15:CTN44 DDJ15:DDJ44 DNF15:DNF44 DXB15:DXB44 EGX15:EGX44 EQT15:EQT44 FAP15:FAP44 FKL15:FKL44 FUH15:FUH44 GED15:GED44 GNZ15:GNZ44 GXV15:GXV44 HHR15:HHR44 HRN15:HRN44 IBJ15:IBJ44 ILF15:ILF44 IVB15:IVB44 JEX15:JEX44 JOT15:JOT44 JYP15:JYP44 KIL15:KIL44 KSH15:KSH44 LCD15:LCD44 LLZ15:LLZ44 LVV15:LVV44 MFR15:MFR44 MPN15:MPN44 MZJ15:MZJ44 NJF15:NJF44 NTB15:NTB44 OCX15:OCX44 OMT15:OMT44 OWP15:OWP44 PGL15:PGL44 PQH15:PQH44 QAD15:QAD44 QJZ15:QJZ44 QTV15:QTV44 RDR15:RDR44 RNN15:RNN44 RXJ15:RXJ44 SHF15:SHF44 SRB15:SRB44 TAX15:TAX44 TKT15:TKT44 TUP15:TUP44 UEL15:UEL44 UOH15:UOH44 UYD15:UYD44 VHZ15:VHZ44 VRV15:VRV44 WBR15:WBR44 WLN15:WLN44 WVJ15:WVJ44" xr:uid="{00000000-0002-0000-0100-000004000000}">
      <formula1>INDIRECT(SUBSTITUTE(JB15&amp;IW15," ",""))</formula1>
    </dataValidation>
  </dataValidations>
  <printOptions horizontalCentered="1"/>
  <pageMargins left="0.25" right="0.25" top="0.75" bottom="1" header="0.17" footer="0.16"/>
  <pageSetup scale="50" orientation="portrait" horizontalDpi="300" verticalDpi="300" r:id="rId1"/>
  <headerFooter alignWithMargins="0">
    <oddHeader xml:space="preserve">&amp;L&amp;12 
1.800.334.4825
1.336.956.2118
1.336.956.6315 FAX&amp;C&amp;48&amp;G&amp;36
&amp;12
&amp;R
May 19, 2017
FOB Lexington, NC&amp;12
 </oddHeader>
    <oddFooter xml:space="preserve">&amp;C&amp;G
&amp;12Valendrawers, Inc. 555 Dixon St., Lexington, NC 27293&amp;10
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promptTitle="size" prompt="door max is 90 9/16&quot;" xr:uid="{00000000-0002-0000-0100-000005000000}">
          <x14:formula1>
            <xm:f>'Price Lists'!$B$40:$B$42</xm:f>
          </x14:formula1>
          <xm:sqref>B15:B44</xm:sqref>
        </x14:dataValidation>
        <x14:dataValidation type="list" allowBlank="1" showInputMessage="1" showErrorMessage="1" xr:uid="{00000000-0002-0000-0100-000006000000}">
          <x14:formula1>
            <xm:f>'Price Lists'!$B$48:$B$54</xm:f>
          </x14:formula1>
          <xm:sqref>C15:C44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Z100"/>
  <sheetViews>
    <sheetView showGridLines="0" zoomScaleNormal="100" zoomScaleSheetLayoutView="70" workbookViewId="0"/>
  </sheetViews>
  <sheetFormatPr defaultColWidth="9.1796875" defaultRowHeight="14.5" x14ac:dyDescent="0.35"/>
  <cols>
    <col min="1" max="16384" width="9.1796875" style="46"/>
  </cols>
  <sheetData>
    <row r="100" spans="26:26" x14ac:dyDescent="0.35">
      <c r="Z100" s="188">
        <v>3</v>
      </c>
    </row>
  </sheetData>
  <pageMargins left="0.7" right="0.7" top="0.75" bottom="0.75" header="0.3" footer="0.3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Z200"/>
  <sheetViews>
    <sheetView showGridLines="0" workbookViewId="0"/>
  </sheetViews>
  <sheetFormatPr defaultRowHeight="14.5" x14ac:dyDescent="0.35"/>
  <sheetData>
    <row r="200" spans="26:26" x14ac:dyDescent="0.35">
      <c r="Z200" s="189">
        <v>0.25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47"/>
  <sheetViews>
    <sheetView showGridLines="0" workbookViewId="0">
      <selection activeCell="A6" sqref="A6"/>
    </sheetView>
  </sheetViews>
  <sheetFormatPr defaultRowHeight="14.5" x14ac:dyDescent="0.35"/>
  <cols>
    <col min="1" max="1" width="12.54296875" bestFit="1" customWidth="1"/>
    <col min="2" max="2" width="17.453125" style="178" bestFit="1" customWidth="1"/>
    <col min="3" max="4" width="9.1796875" style="178"/>
    <col min="5" max="5" width="10.54296875" bestFit="1" customWidth="1"/>
    <col min="6" max="6" width="7" customWidth="1"/>
    <col min="7" max="7" width="12.90625" bestFit="1" customWidth="1"/>
    <col min="8" max="8" width="11.26953125" bestFit="1" customWidth="1"/>
    <col min="9" max="9" width="11.453125" bestFit="1" customWidth="1"/>
  </cols>
  <sheetData>
    <row r="2" spans="1:9" x14ac:dyDescent="0.35">
      <c r="A2" s="192" t="s">
        <v>143</v>
      </c>
      <c r="B2" s="192" t="s">
        <v>850</v>
      </c>
      <c r="C2" s="192" t="s">
        <v>852</v>
      </c>
      <c r="D2" s="192" t="s">
        <v>851</v>
      </c>
      <c r="E2" s="193"/>
    </row>
    <row r="3" spans="1:9" x14ac:dyDescent="0.35">
      <c r="A3" s="194">
        <f>CUSTOMER!C3</f>
        <v>0</v>
      </c>
      <c r="B3" s="192">
        <f>CUSTOMER!C4</f>
        <v>0</v>
      </c>
      <c r="C3" s="192">
        <f>CUSTOMER!C5</f>
        <v>0</v>
      </c>
      <c r="D3" s="192">
        <f>CUSTOMER!C6</f>
        <v>0</v>
      </c>
      <c r="E3" s="193"/>
    </row>
    <row r="4" spans="1:9" x14ac:dyDescent="0.35">
      <c r="A4" s="193"/>
      <c r="B4" s="192"/>
      <c r="C4" s="192"/>
      <c r="D4" s="192"/>
      <c r="E4" s="193"/>
    </row>
    <row r="5" spans="1:9" x14ac:dyDescent="0.35">
      <c r="A5" s="195" t="s">
        <v>853</v>
      </c>
      <c r="B5" s="195" t="s">
        <v>672</v>
      </c>
      <c r="C5" s="196" t="s">
        <v>114</v>
      </c>
      <c r="D5" s="196" t="s">
        <v>854</v>
      </c>
      <c r="E5" s="197" t="s">
        <v>0</v>
      </c>
    </row>
    <row r="6" spans="1:9" x14ac:dyDescent="0.35">
      <c r="A6" s="181" t="str">
        <f>IF(CUSTOMER!B15="","",CUSTOMER!B15)</f>
        <v/>
      </c>
      <c r="B6" s="181" t="str">
        <f>IF(Sheet1!G18="","",Sheet1!G18)</f>
        <v/>
      </c>
      <c r="C6" s="182">
        <f>CUSTOMER!I15*CUSTOMER!A15</f>
        <v>0</v>
      </c>
      <c r="D6" s="182">
        <f>IFERROR(E6/C6,0)</f>
        <v>0</v>
      </c>
      <c r="E6" s="190" t="str">
        <f>Sheet1!B18</f>
        <v/>
      </c>
      <c r="F6" s="176"/>
    </row>
    <row r="7" spans="1:9" x14ac:dyDescent="0.35">
      <c r="A7" s="181" t="str">
        <f>IF(CUSTOMER!B16="","",CUSTOMER!B16)</f>
        <v/>
      </c>
      <c r="B7" s="181" t="str">
        <f>IF(Sheet1!G19="","",Sheet1!G19)</f>
        <v/>
      </c>
      <c r="C7" s="182">
        <f>CUSTOMER!I16*CUSTOMER!A16</f>
        <v>0</v>
      </c>
      <c r="D7" s="182">
        <f t="shared" ref="D7:D43" si="0">IFERROR(E7/C7,0)</f>
        <v>0</v>
      </c>
      <c r="E7" s="190">
        <f>Sheet1!B19</f>
        <v>0</v>
      </c>
      <c r="F7" s="176"/>
    </row>
    <row r="8" spans="1:9" x14ac:dyDescent="0.35">
      <c r="A8" s="181" t="str">
        <f>IF(CUSTOMER!B17="","",CUSTOMER!B17)</f>
        <v/>
      </c>
      <c r="B8" s="181" t="str">
        <f>IF(Sheet1!G20="","",Sheet1!G20)</f>
        <v/>
      </c>
      <c r="C8" s="182">
        <f>CUSTOMER!I17*CUSTOMER!A17</f>
        <v>0</v>
      </c>
      <c r="D8" s="182">
        <f t="shared" si="0"/>
        <v>0</v>
      </c>
      <c r="E8" s="190">
        <f>Sheet1!B20</f>
        <v>0</v>
      </c>
      <c r="F8" s="176"/>
      <c r="G8" s="198" t="s">
        <v>855</v>
      </c>
    </row>
    <row r="9" spans="1:9" x14ac:dyDescent="0.35">
      <c r="A9" s="181" t="str">
        <f>IF(CUSTOMER!B18="","",CUSTOMER!B18)</f>
        <v/>
      </c>
      <c r="B9" s="181" t="str">
        <f>IF(Sheet1!G21="","",Sheet1!G21)</f>
        <v/>
      </c>
      <c r="C9" s="182">
        <f>CUSTOMER!I18*CUSTOMER!A18</f>
        <v>0</v>
      </c>
      <c r="D9" s="182">
        <f t="shared" si="0"/>
        <v>0</v>
      </c>
      <c r="E9" s="190">
        <f>Sheet1!B21</f>
        <v>0</v>
      </c>
      <c r="F9" s="176"/>
    </row>
    <row r="10" spans="1:9" x14ac:dyDescent="0.35">
      <c r="A10" s="181" t="str">
        <f>IF(CUSTOMER!B19="","",CUSTOMER!B19)</f>
        <v/>
      </c>
      <c r="B10" s="181" t="str">
        <f>IF(Sheet1!G22="","",Sheet1!G22)</f>
        <v/>
      </c>
      <c r="C10" s="182">
        <f>CUSTOMER!I19*CUSTOMER!A19</f>
        <v>0</v>
      </c>
      <c r="D10" s="182">
        <f t="shared" si="0"/>
        <v>0</v>
      </c>
      <c r="E10" s="190">
        <f>Sheet1!B22</f>
        <v>0</v>
      </c>
      <c r="F10" s="176"/>
      <c r="G10" s="177" t="s">
        <v>673</v>
      </c>
      <c r="H10" t="s">
        <v>674</v>
      </c>
      <c r="I10" t="s">
        <v>675</v>
      </c>
    </row>
    <row r="11" spans="1:9" x14ac:dyDescent="0.35">
      <c r="A11" s="181" t="str">
        <f>IF(CUSTOMER!B20="","",CUSTOMER!B20)</f>
        <v/>
      </c>
      <c r="B11" s="181" t="str">
        <f>IF(Sheet1!G23="","",Sheet1!G23)</f>
        <v/>
      </c>
      <c r="C11" s="182">
        <f>CUSTOMER!I20*CUSTOMER!A20</f>
        <v>0</v>
      </c>
      <c r="D11" s="182">
        <f t="shared" si="0"/>
        <v>0</v>
      </c>
      <c r="E11" s="190">
        <f>Sheet1!B23</f>
        <v>0</v>
      </c>
      <c r="F11" s="176"/>
      <c r="G11" s="178" t="s">
        <v>111</v>
      </c>
      <c r="H11" s="179">
        <v>0</v>
      </c>
      <c r="I11" s="180">
        <v>0</v>
      </c>
    </row>
    <row r="12" spans="1:9" x14ac:dyDescent="0.35">
      <c r="A12" s="181" t="str">
        <f>IF(CUSTOMER!B21="","",CUSTOMER!B21)</f>
        <v/>
      </c>
      <c r="B12" s="181" t="str">
        <f>IF(Sheet1!G24="","",Sheet1!G24)</f>
        <v/>
      </c>
      <c r="C12" s="182">
        <f>CUSTOMER!I21*CUSTOMER!A21</f>
        <v>0</v>
      </c>
      <c r="D12" s="182">
        <f t="shared" si="0"/>
        <v>0</v>
      </c>
      <c r="E12" s="190">
        <f>Sheet1!B24</f>
        <v>0</v>
      </c>
      <c r="F12" s="176"/>
      <c r="G12" s="178" t="s">
        <v>147</v>
      </c>
      <c r="H12" s="179">
        <v>0</v>
      </c>
      <c r="I12" s="180">
        <v>0</v>
      </c>
    </row>
    <row r="13" spans="1:9" x14ac:dyDescent="0.35">
      <c r="A13" s="181" t="str">
        <f>IF(CUSTOMER!B22="","",CUSTOMER!B22)</f>
        <v/>
      </c>
      <c r="B13" s="181" t="str">
        <f>IF(Sheet1!G25="","",Sheet1!G25)</f>
        <v/>
      </c>
      <c r="C13" s="182">
        <f>CUSTOMER!I22*CUSTOMER!A22</f>
        <v>0</v>
      </c>
      <c r="D13" s="182">
        <f t="shared" si="0"/>
        <v>0</v>
      </c>
      <c r="E13" s="190">
        <f>Sheet1!B25</f>
        <v>0</v>
      </c>
      <c r="F13" s="176"/>
      <c r="G13" s="178" t="s">
        <v>110</v>
      </c>
      <c r="H13" s="179">
        <v>0</v>
      </c>
      <c r="I13" s="180">
        <v>0</v>
      </c>
    </row>
    <row r="14" spans="1:9" x14ac:dyDescent="0.35">
      <c r="A14" s="181" t="str">
        <f>IF(CUSTOMER!B23="","",CUSTOMER!B23)</f>
        <v/>
      </c>
      <c r="B14" s="181" t="str">
        <f>IF(Sheet1!G26="","",Sheet1!G26)</f>
        <v/>
      </c>
      <c r="C14" s="182">
        <f>CUSTOMER!I23*CUSTOMER!A23</f>
        <v>0</v>
      </c>
      <c r="D14" s="182">
        <f t="shared" si="0"/>
        <v>0</v>
      </c>
      <c r="E14" s="190">
        <f>Sheet1!B26</f>
        <v>0</v>
      </c>
      <c r="F14" s="176"/>
      <c r="G14" s="178" t="s">
        <v>1456</v>
      </c>
      <c r="H14" s="179">
        <v>0</v>
      </c>
      <c r="I14" s="180">
        <v>0</v>
      </c>
    </row>
    <row r="15" spans="1:9" x14ac:dyDescent="0.35">
      <c r="A15" s="181" t="str">
        <f>IF(CUSTOMER!B24="","",CUSTOMER!B24)</f>
        <v/>
      </c>
      <c r="B15" s="181" t="str">
        <f>IF(Sheet1!G27="","",Sheet1!G27)</f>
        <v/>
      </c>
      <c r="C15" s="182">
        <f>CUSTOMER!I24*CUSTOMER!A24</f>
        <v>0</v>
      </c>
      <c r="D15" s="182">
        <f t="shared" si="0"/>
        <v>0</v>
      </c>
      <c r="E15" s="190">
        <f>Sheet1!B27</f>
        <v>0</v>
      </c>
      <c r="F15" s="176"/>
    </row>
    <row r="16" spans="1:9" x14ac:dyDescent="0.35">
      <c r="A16" s="181" t="str">
        <f>IF(CUSTOMER!B25="","",CUSTOMER!B25)</f>
        <v/>
      </c>
      <c r="B16" s="181" t="str">
        <f>IF(Sheet1!G28="","",Sheet1!G28)</f>
        <v/>
      </c>
      <c r="C16" s="182">
        <f>CUSTOMER!I25*CUSTOMER!A25</f>
        <v>0</v>
      </c>
      <c r="D16" s="182">
        <f t="shared" si="0"/>
        <v>0</v>
      </c>
      <c r="E16" s="190">
        <f>Sheet1!B28</f>
        <v>0</v>
      </c>
      <c r="F16" s="176"/>
    </row>
    <row r="17" spans="1:9" x14ac:dyDescent="0.35">
      <c r="A17" s="181" t="str">
        <f>IF(CUSTOMER!B26="","",CUSTOMER!B26)</f>
        <v/>
      </c>
      <c r="B17" s="181" t="str">
        <f>IF(Sheet1!G29="","",Sheet1!G29)</f>
        <v/>
      </c>
      <c r="C17" s="182">
        <f>CUSTOMER!I26*CUSTOMER!A26</f>
        <v>0</v>
      </c>
      <c r="D17" s="182">
        <f t="shared" si="0"/>
        <v>0</v>
      </c>
      <c r="E17" s="190">
        <f>Sheet1!B29</f>
        <v>0</v>
      </c>
      <c r="F17" s="176"/>
    </row>
    <row r="18" spans="1:9" x14ac:dyDescent="0.35">
      <c r="A18" s="181" t="str">
        <f>IF(CUSTOMER!B27="","",CUSTOMER!B27)</f>
        <v/>
      </c>
      <c r="B18" s="181" t="str">
        <f>IF(Sheet1!G30="","",Sheet1!G30)</f>
        <v/>
      </c>
      <c r="C18" s="182">
        <f>CUSTOMER!I27*CUSTOMER!A27</f>
        <v>0</v>
      </c>
      <c r="D18" s="182">
        <f t="shared" si="0"/>
        <v>0</v>
      </c>
      <c r="E18" s="190">
        <f>Sheet1!B30</f>
        <v>0</v>
      </c>
      <c r="F18" s="176"/>
    </row>
    <row r="19" spans="1:9" x14ac:dyDescent="0.35">
      <c r="A19" s="181" t="str">
        <f>IF(CUSTOMER!B28="","",CUSTOMER!B28)</f>
        <v/>
      </c>
      <c r="B19" s="181" t="str">
        <f>IF(Sheet1!G31="","",Sheet1!G31)</f>
        <v/>
      </c>
      <c r="C19" s="182">
        <f>CUSTOMER!I28*CUSTOMER!A28</f>
        <v>0</v>
      </c>
      <c r="D19" s="182">
        <f t="shared" si="0"/>
        <v>0</v>
      </c>
      <c r="E19" s="190">
        <f>Sheet1!B31</f>
        <v>0</v>
      </c>
      <c r="F19" s="176"/>
    </row>
    <row r="20" spans="1:9" x14ac:dyDescent="0.35">
      <c r="A20" s="181" t="str">
        <f>IF(CUSTOMER!B29="","",CUSTOMER!B29)</f>
        <v/>
      </c>
      <c r="B20" s="181" t="str">
        <f>IF(Sheet1!G32="","",Sheet1!G32)</f>
        <v/>
      </c>
      <c r="C20" s="182">
        <f>CUSTOMER!I29*CUSTOMER!A29</f>
        <v>0</v>
      </c>
      <c r="D20" s="182">
        <f t="shared" si="0"/>
        <v>0</v>
      </c>
      <c r="E20" s="190">
        <f>Sheet1!B32</f>
        <v>0</v>
      </c>
      <c r="F20" s="176"/>
    </row>
    <row r="21" spans="1:9" x14ac:dyDescent="0.35">
      <c r="A21" s="181" t="str">
        <f>IF(CUSTOMER!B30="","",CUSTOMER!B30)</f>
        <v/>
      </c>
      <c r="B21" s="181" t="str">
        <f>IF(Sheet1!G33="","",Sheet1!G33)</f>
        <v/>
      </c>
      <c r="C21" s="182">
        <f>CUSTOMER!I30*CUSTOMER!A30</f>
        <v>0</v>
      </c>
      <c r="D21" s="182">
        <f t="shared" si="0"/>
        <v>0</v>
      </c>
      <c r="E21" s="190">
        <f>Sheet1!B33</f>
        <v>0</v>
      </c>
      <c r="F21" s="176"/>
    </row>
    <row r="22" spans="1:9" x14ac:dyDescent="0.35">
      <c r="A22" s="181" t="str">
        <f>IF(CUSTOMER!B31="","",CUSTOMER!B31)</f>
        <v/>
      </c>
      <c r="B22" s="181" t="str">
        <f>IF(Sheet1!G34="","",Sheet1!G34)</f>
        <v/>
      </c>
      <c r="C22" s="182">
        <f>CUSTOMER!I31*CUSTOMER!A31</f>
        <v>0</v>
      </c>
      <c r="D22" s="182">
        <f t="shared" si="0"/>
        <v>0</v>
      </c>
      <c r="E22" s="190">
        <f>Sheet1!B34</f>
        <v>0</v>
      </c>
      <c r="F22" s="176"/>
    </row>
    <row r="23" spans="1:9" x14ac:dyDescent="0.35">
      <c r="A23" s="181" t="str">
        <f>IF(CUSTOMER!B32="","",CUSTOMER!B32)</f>
        <v/>
      </c>
      <c r="B23" s="181" t="str">
        <f>IF(Sheet1!G35="","",Sheet1!G35)</f>
        <v/>
      </c>
      <c r="C23" s="182">
        <f>CUSTOMER!I32*CUSTOMER!A32</f>
        <v>0</v>
      </c>
      <c r="D23" s="182">
        <f t="shared" si="0"/>
        <v>0</v>
      </c>
      <c r="E23" s="190">
        <f>Sheet1!B35</f>
        <v>0</v>
      </c>
      <c r="F23" s="176"/>
      <c r="G23" s="219" t="s">
        <v>1457</v>
      </c>
      <c r="H23" s="216"/>
      <c r="I23" s="217">
        <f>CUSTOMER!M62</f>
        <v>30</v>
      </c>
    </row>
    <row r="24" spans="1:9" ht="18.5" x14ac:dyDescent="0.45">
      <c r="A24" s="181" t="str">
        <f>IF(CUSTOMER!B33="","",CUSTOMER!B33)</f>
        <v/>
      </c>
      <c r="B24" s="181" t="str">
        <f>IF(Sheet1!G36="","",Sheet1!G36)</f>
        <v/>
      </c>
      <c r="C24" s="182">
        <f>CUSTOMER!I33*CUSTOMER!A33</f>
        <v>0</v>
      </c>
      <c r="D24" s="182">
        <f t="shared" si="0"/>
        <v>0</v>
      </c>
      <c r="E24" s="190">
        <f>Sheet1!B36</f>
        <v>0</v>
      </c>
      <c r="F24" s="176"/>
      <c r="G24" s="218" t="s">
        <v>0</v>
      </c>
      <c r="H24" s="220">
        <f>GETPIVOTDATA("Sum of Sq Ft",$G$10)</f>
        <v>0</v>
      </c>
      <c r="I24" s="215">
        <f>GETPIVOTDATA("Sum of Total",$G$10)+I23</f>
        <v>30</v>
      </c>
    </row>
    <row r="25" spans="1:9" x14ac:dyDescent="0.35">
      <c r="A25" s="181" t="str">
        <f>IF(CUSTOMER!B34="","",CUSTOMER!B34)</f>
        <v/>
      </c>
      <c r="B25" s="181" t="str">
        <f>IF(Sheet1!G37="","",Sheet1!G37)</f>
        <v/>
      </c>
      <c r="C25" s="182">
        <f>CUSTOMER!I34*CUSTOMER!A34</f>
        <v>0</v>
      </c>
      <c r="D25" s="182">
        <f t="shared" si="0"/>
        <v>0</v>
      </c>
      <c r="E25" s="190">
        <f>Sheet1!B37</f>
        <v>0</v>
      </c>
      <c r="F25" s="176"/>
    </row>
    <row r="26" spans="1:9" x14ac:dyDescent="0.35">
      <c r="A26" s="181" t="str">
        <f>IF(CUSTOMER!B35="","",CUSTOMER!B35)</f>
        <v/>
      </c>
      <c r="B26" s="181" t="str">
        <f>IF(Sheet1!G38="","",Sheet1!G38)</f>
        <v/>
      </c>
      <c r="C26" s="182">
        <f>CUSTOMER!I35*CUSTOMER!A35</f>
        <v>0</v>
      </c>
      <c r="D26" s="182">
        <f t="shared" si="0"/>
        <v>0</v>
      </c>
      <c r="E26" s="190">
        <f>Sheet1!B38</f>
        <v>0</v>
      </c>
      <c r="F26" s="176"/>
    </row>
    <row r="27" spans="1:9" x14ac:dyDescent="0.35">
      <c r="A27" s="181" t="str">
        <f>IF(CUSTOMER!B36="","",CUSTOMER!B36)</f>
        <v/>
      </c>
      <c r="B27" s="181" t="str">
        <f>IF(Sheet1!G39="","",Sheet1!G39)</f>
        <v/>
      </c>
      <c r="C27" s="182">
        <f>CUSTOMER!I36*CUSTOMER!A36</f>
        <v>0</v>
      </c>
      <c r="D27" s="182">
        <f t="shared" si="0"/>
        <v>0</v>
      </c>
      <c r="E27" s="190">
        <f>Sheet1!B39</f>
        <v>0</v>
      </c>
      <c r="F27" s="176"/>
    </row>
    <row r="28" spans="1:9" x14ac:dyDescent="0.35">
      <c r="A28" s="181" t="str">
        <f>IF(CUSTOMER!B37="","",CUSTOMER!B37)</f>
        <v/>
      </c>
      <c r="B28" s="181" t="str">
        <f>IF(Sheet1!G40="","",Sheet1!G40)</f>
        <v/>
      </c>
      <c r="C28" s="182">
        <f>CUSTOMER!I37*CUSTOMER!A37</f>
        <v>0</v>
      </c>
      <c r="D28" s="182">
        <f t="shared" si="0"/>
        <v>0</v>
      </c>
      <c r="E28" s="190">
        <f>Sheet1!B40</f>
        <v>0</v>
      </c>
      <c r="F28" s="176"/>
    </row>
    <row r="29" spans="1:9" x14ac:dyDescent="0.35">
      <c r="A29" s="181" t="str">
        <f>IF(CUSTOMER!B38="","",CUSTOMER!B38)</f>
        <v/>
      </c>
      <c r="B29" s="181" t="str">
        <f>IF(Sheet1!G41="","",Sheet1!G41)</f>
        <v/>
      </c>
      <c r="C29" s="182">
        <f>CUSTOMER!I38*CUSTOMER!A38</f>
        <v>0</v>
      </c>
      <c r="D29" s="182">
        <f t="shared" si="0"/>
        <v>0</v>
      </c>
      <c r="E29" s="190">
        <f>Sheet1!B41</f>
        <v>0</v>
      </c>
      <c r="F29" s="176"/>
    </row>
    <row r="30" spans="1:9" x14ac:dyDescent="0.35">
      <c r="A30" s="181" t="str">
        <f>IF(CUSTOMER!B39="","",CUSTOMER!B39)</f>
        <v/>
      </c>
      <c r="B30" s="181" t="str">
        <f>IF(Sheet1!G42="","",Sheet1!G42)</f>
        <v/>
      </c>
      <c r="C30" s="182">
        <f>CUSTOMER!I39*CUSTOMER!A39</f>
        <v>0</v>
      </c>
      <c r="D30" s="182">
        <f t="shared" si="0"/>
        <v>0</v>
      </c>
      <c r="E30" s="190">
        <f>Sheet1!B42</f>
        <v>0</v>
      </c>
      <c r="F30" s="176"/>
    </row>
    <row r="31" spans="1:9" x14ac:dyDescent="0.35">
      <c r="A31" s="181" t="str">
        <f>IF(CUSTOMER!B40="","",CUSTOMER!B40)</f>
        <v/>
      </c>
      <c r="B31" s="181" t="str">
        <f>IF(Sheet1!G43="","",Sheet1!G43)</f>
        <v/>
      </c>
      <c r="C31" s="182">
        <f>CUSTOMER!I40*CUSTOMER!A40</f>
        <v>0</v>
      </c>
      <c r="D31" s="182">
        <f t="shared" si="0"/>
        <v>0</v>
      </c>
      <c r="E31" s="190">
        <f>Sheet1!B43</f>
        <v>0</v>
      </c>
      <c r="F31" s="176"/>
    </row>
    <row r="32" spans="1:9" x14ac:dyDescent="0.35">
      <c r="A32" s="181" t="str">
        <f>IF(CUSTOMER!B41="","",CUSTOMER!B41)</f>
        <v/>
      </c>
      <c r="B32" s="181" t="str">
        <f>IF(Sheet1!G44="","",Sheet1!G44)</f>
        <v/>
      </c>
      <c r="C32" s="182">
        <f>CUSTOMER!I41*CUSTOMER!A41</f>
        <v>0</v>
      </c>
      <c r="D32" s="182">
        <f t="shared" si="0"/>
        <v>0</v>
      </c>
      <c r="E32" s="190">
        <f>Sheet1!B44</f>
        <v>0</v>
      </c>
      <c r="F32" s="176"/>
    </row>
    <row r="33" spans="1:6" x14ac:dyDescent="0.35">
      <c r="A33" s="181" t="str">
        <f>IF(CUSTOMER!B42="","",CUSTOMER!B42)</f>
        <v/>
      </c>
      <c r="B33" s="181" t="str">
        <f>IF(Sheet1!G45="","",Sheet1!G45)</f>
        <v/>
      </c>
      <c r="C33" s="182">
        <f>CUSTOMER!I42*CUSTOMER!A42</f>
        <v>0</v>
      </c>
      <c r="D33" s="182">
        <f t="shared" si="0"/>
        <v>0</v>
      </c>
      <c r="E33" s="190">
        <f>Sheet1!B45</f>
        <v>0</v>
      </c>
      <c r="F33" s="176"/>
    </row>
    <row r="34" spans="1:6" x14ac:dyDescent="0.35">
      <c r="A34" s="181" t="str">
        <f>IF(CUSTOMER!B43="","",CUSTOMER!B43)</f>
        <v/>
      </c>
      <c r="B34" s="181" t="str">
        <f>IF(Sheet1!G46="","",Sheet1!G46)</f>
        <v/>
      </c>
      <c r="C34" s="182">
        <f>CUSTOMER!I43*CUSTOMER!A43</f>
        <v>0</v>
      </c>
      <c r="D34" s="182">
        <f t="shared" si="0"/>
        <v>0</v>
      </c>
      <c r="E34" s="190">
        <f>Sheet1!B46</f>
        <v>0</v>
      </c>
      <c r="F34" s="176"/>
    </row>
    <row r="35" spans="1:6" x14ac:dyDescent="0.35">
      <c r="A35" s="181" t="str">
        <f>IF(CUSTOMER!B44="","",CUSTOMER!B44)</f>
        <v/>
      </c>
      <c r="B35" s="181" t="str">
        <f>IF(Sheet1!G47="","",Sheet1!G47)</f>
        <v/>
      </c>
      <c r="C35" s="182">
        <f>CUSTOMER!I44*CUSTOMER!A44</f>
        <v>0</v>
      </c>
      <c r="D35" s="182">
        <f t="shared" si="0"/>
        <v>0</v>
      </c>
      <c r="E35" s="190">
        <f>Sheet1!B47</f>
        <v>0</v>
      </c>
      <c r="F35" s="176"/>
    </row>
    <row r="36" spans="1:6" x14ac:dyDescent="0.35">
      <c r="A36" s="183" t="str">
        <f>IF(CUSTOMER!B52="","",CUSTOMER!B52)</f>
        <v/>
      </c>
      <c r="B36" s="183" t="str">
        <f>IF(Sheet1!G55="","",Sheet1!G55)</f>
        <v/>
      </c>
      <c r="C36" s="184">
        <f>CUSTOMER!A52</f>
        <v>0</v>
      </c>
      <c r="D36" s="184">
        <f t="shared" si="0"/>
        <v>0</v>
      </c>
      <c r="E36" s="191" t="str">
        <f>Sheet1!B55</f>
        <v/>
      </c>
    </row>
    <row r="37" spans="1:6" x14ac:dyDescent="0.35">
      <c r="A37" s="185" t="str">
        <f>IF(CUSTOMER!B53="","",CUSTOMER!B53)</f>
        <v/>
      </c>
      <c r="B37" s="185" t="str">
        <f>IF(Sheet1!G56="","",Sheet1!G56)</f>
        <v/>
      </c>
      <c r="C37" s="186">
        <f>CUSTOMER!A53</f>
        <v>0</v>
      </c>
      <c r="D37" s="186">
        <f t="shared" si="0"/>
        <v>0</v>
      </c>
      <c r="E37" s="190" t="str">
        <f>Sheet1!B56</f>
        <v/>
      </c>
    </row>
    <row r="38" spans="1:6" x14ac:dyDescent="0.35">
      <c r="A38" s="185" t="str">
        <f>IF(CUSTOMER!B54="","",CUSTOMER!B54)</f>
        <v/>
      </c>
      <c r="B38" s="185" t="str">
        <f>IF(Sheet1!G57="","",Sheet1!G57)</f>
        <v/>
      </c>
      <c r="C38" s="186">
        <f>CUSTOMER!A54</f>
        <v>0</v>
      </c>
      <c r="D38" s="186">
        <f t="shared" si="0"/>
        <v>0</v>
      </c>
      <c r="E38" s="190" t="str">
        <f>Sheet1!B57</f>
        <v/>
      </c>
    </row>
    <row r="39" spans="1:6" x14ac:dyDescent="0.35">
      <c r="A39" s="185" t="str">
        <f>IF(CUSTOMER!B55="","",CUSTOMER!B55)</f>
        <v/>
      </c>
      <c r="B39" s="185" t="str">
        <f>IF(Sheet1!G58="","",Sheet1!G58)</f>
        <v/>
      </c>
      <c r="C39" s="186">
        <f>CUSTOMER!A55</f>
        <v>0</v>
      </c>
      <c r="D39" s="186">
        <f t="shared" si="0"/>
        <v>0</v>
      </c>
      <c r="E39" s="190" t="str">
        <f>Sheet1!B58</f>
        <v/>
      </c>
    </row>
    <row r="40" spans="1:6" x14ac:dyDescent="0.35">
      <c r="A40" s="185" t="str">
        <f>IF(CUSTOMER!B56="","",CUSTOMER!B56)</f>
        <v/>
      </c>
      <c r="B40" s="185" t="str">
        <f>IF(Sheet1!G59="","",Sheet1!G59)</f>
        <v/>
      </c>
      <c r="C40" s="186">
        <f>CUSTOMER!A56</f>
        <v>0</v>
      </c>
      <c r="D40" s="186">
        <f t="shared" si="0"/>
        <v>0</v>
      </c>
      <c r="E40" s="190" t="str">
        <f>Sheet1!B59</f>
        <v/>
      </c>
    </row>
    <row r="41" spans="1:6" x14ac:dyDescent="0.35">
      <c r="A41" s="185" t="str">
        <f>IF(CUSTOMER!B57="","",CUSTOMER!B57)</f>
        <v/>
      </c>
      <c r="B41" s="185" t="str">
        <f>IF(Sheet1!G60="","",Sheet1!G60)</f>
        <v/>
      </c>
      <c r="C41" s="186">
        <f>CUSTOMER!A57</f>
        <v>0</v>
      </c>
      <c r="D41" s="186">
        <f t="shared" si="0"/>
        <v>0</v>
      </c>
      <c r="E41" s="190" t="str">
        <f>Sheet1!B60</f>
        <v/>
      </c>
    </row>
    <row r="42" spans="1:6" x14ac:dyDescent="0.35">
      <c r="A42" s="183" t="str">
        <f>CUSTOMER!K63</f>
        <v>FREIGHT</v>
      </c>
      <c r="B42" s="183" t="str">
        <f>CUSTOMER!K63</f>
        <v>FREIGHT</v>
      </c>
      <c r="C42" s="184">
        <f>IF(E42&gt;0,1,0)</f>
        <v>0</v>
      </c>
      <c r="D42" s="184">
        <f t="shared" si="0"/>
        <v>0</v>
      </c>
      <c r="E42" s="191">
        <f>Sheet1!A65</f>
        <v>0</v>
      </c>
    </row>
    <row r="43" spans="1:6" x14ac:dyDescent="0.35">
      <c r="A43" s="185" t="str">
        <f>CUSTOMER!K47</f>
        <v>SURCHARGE</v>
      </c>
      <c r="B43" s="185" t="str">
        <f>CUSTOMER!K47</f>
        <v>SURCHARGE</v>
      </c>
      <c r="C43" s="186">
        <f>IF(E43&gt;0,1,0)</f>
        <v>0</v>
      </c>
      <c r="D43" s="186">
        <f t="shared" si="0"/>
        <v>0</v>
      </c>
      <c r="E43" s="190">
        <f>Sheet1!A50</f>
        <v>0</v>
      </c>
    </row>
    <row r="44" spans="1:6" x14ac:dyDescent="0.35">
      <c r="A44" s="185" t="s">
        <v>1455</v>
      </c>
      <c r="B44" s="185"/>
      <c r="C44" s="186"/>
      <c r="D44" s="186"/>
      <c r="E44" s="214">
        <f>CUSTOMER!M62</f>
        <v>30</v>
      </c>
    </row>
    <row r="45" spans="1:6" x14ac:dyDescent="0.35">
      <c r="A45" s="185"/>
      <c r="B45" s="185"/>
      <c r="C45" s="186"/>
      <c r="D45" s="186"/>
      <c r="E45" s="214"/>
    </row>
    <row r="46" spans="1:6" ht="15" thickBot="1" x14ac:dyDescent="0.4">
      <c r="A46" s="200" t="s">
        <v>0</v>
      </c>
      <c r="B46" s="201"/>
      <c r="C46" s="203"/>
      <c r="D46" s="201"/>
      <c r="E46" s="202">
        <f>SUM(E6:E44)</f>
        <v>30</v>
      </c>
    </row>
    <row r="47" spans="1:6" ht="15" thickTop="1" x14ac:dyDescent="0.35">
      <c r="A47" t="s">
        <v>856</v>
      </c>
      <c r="E47" s="199">
        <f>E46-Sheet1!A66</f>
        <v>0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C5" sqref="C5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Q127"/>
  <sheetViews>
    <sheetView showGridLines="0" topLeftCell="D1" zoomScaleNormal="100" workbookViewId="0">
      <pane ySplit="1" topLeftCell="A2" activePane="bottomLeft" state="frozen"/>
      <selection pane="bottomLeft" activeCell="K17" sqref="K17"/>
    </sheetView>
  </sheetViews>
  <sheetFormatPr defaultColWidth="4.81640625" defaultRowHeight="14.25" customHeight="1" outlineLevelCol="1" x14ac:dyDescent="0.35"/>
  <cols>
    <col min="1" max="1" width="4.81640625" style="16" customWidth="1" outlineLevel="1"/>
    <col min="2" max="2" width="35.1796875" style="16" customWidth="1" outlineLevel="1"/>
    <col min="3" max="3" width="37.453125" style="16" customWidth="1" outlineLevel="1"/>
    <col min="4" max="5" width="25.1796875" style="16" customWidth="1" outlineLevel="1"/>
    <col min="6" max="6" width="28.1796875" style="22" bestFit="1" customWidth="1"/>
    <col min="7" max="7" width="12.54296875" style="24" customWidth="1"/>
    <col min="8" max="8" width="1" style="24" customWidth="1"/>
    <col min="9" max="9" width="12.54296875" style="24" customWidth="1"/>
    <col min="10" max="10" width="1" style="25" customWidth="1"/>
    <col min="11" max="11" width="12.54296875" style="24" customWidth="1"/>
    <col min="12" max="12" width="15" style="24" customWidth="1"/>
    <col min="13" max="13" width="11.81640625" style="16" customWidth="1"/>
    <col min="14" max="14" width="13.81640625" style="19" customWidth="1"/>
    <col min="15" max="15" width="4.81640625" style="19"/>
    <col min="16" max="16" width="9.81640625" style="19" bestFit="1" customWidth="1"/>
    <col min="17" max="17" width="8.453125" style="19" bestFit="1" customWidth="1"/>
    <col min="18" max="16384" width="4.81640625" style="19"/>
  </cols>
  <sheetData>
    <row r="1" spans="1:17" s="10" customFormat="1" ht="32.25" customHeight="1" x14ac:dyDescent="0.35">
      <c r="A1" s="9"/>
      <c r="B1" s="39" t="s">
        <v>2</v>
      </c>
      <c r="C1" s="39" t="s">
        <v>17</v>
      </c>
      <c r="D1" s="40" t="s">
        <v>10</v>
      </c>
      <c r="E1" s="40"/>
      <c r="F1" s="41" t="s">
        <v>5</v>
      </c>
      <c r="G1" s="42" t="s">
        <v>116</v>
      </c>
      <c r="H1" s="43"/>
      <c r="I1" s="42" t="s">
        <v>117</v>
      </c>
      <c r="J1" s="8"/>
      <c r="K1" s="42" t="s">
        <v>115</v>
      </c>
      <c r="L1" s="44" t="s">
        <v>119</v>
      </c>
      <c r="M1" s="9"/>
      <c r="N1" s="45" t="s">
        <v>118</v>
      </c>
    </row>
    <row r="2" spans="1:17" ht="14.25" customHeight="1" x14ac:dyDescent="0.35">
      <c r="B2" s="20"/>
      <c r="C2" s="21" t="s">
        <v>70</v>
      </c>
      <c r="F2" s="22" t="s">
        <v>64</v>
      </c>
      <c r="G2" s="23">
        <v>7.7</v>
      </c>
      <c r="I2" s="23">
        <v>14.71</v>
      </c>
      <c r="K2" s="23">
        <f>10.95*1.1</f>
        <v>12.045</v>
      </c>
      <c r="L2" s="26">
        <f>$K2/(1-$N$2)</f>
        <v>17.207142857142859</v>
      </c>
      <c r="N2" s="165">
        <f>VLOOKUP(Doors!$Z$100,$P$4:$Q$11,2,0)</f>
        <v>0.3</v>
      </c>
    </row>
    <row r="3" spans="1:17" ht="14.25" customHeight="1" x14ac:dyDescent="0.35">
      <c r="B3" s="21" t="s">
        <v>124</v>
      </c>
      <c r="C3" s="21" t="s">
        <v>71</v>
      </c>
      <c r="F3" s="27" t="s">
        <v>37</v>
      </c>
      <c r="G3" s="23">
        <v>5.5</v>
      </c>
      <c r="I3" s="23">
        <v>5.5</v>
      </c>
      <c r="K3" s="23">
        <f>7.7*1.1</f>
        <v>8.4700000000000006</v>
      </c>
      <c r="L3" s="26">
        <f>$K3/(1-$N$2)</f>
        <v>12.100000000000001</v>
      </c>
    </row>
    <row r="4" spans="1:17" ht="14.25" customHeight="1" x14ac:dyDescent="0.35">
      <c r="B4" s="21" t="s">
        <v>36</v>
      </c>
      <c r="C4" s="28"/>
      <c r="F4" s="22" t="s">
        <v>65</v>
      </c>
      <c r="G4" s="23">
        <v>6.05</v>
      </c>
      <c r="I4" s="23">
        <v>12.61</v>
      </c>
      <c r="K4" s="23">
        <f>9.6*1.1</f>
        <v>10.56</v>
      </c>
      <c r="L4" s="26">
        <f>$K4/(1-$N$2)</f>
        <v>15.085714285714287</v>
      </c>
      <c r="P4" s="167" t="s">
        <v>152</v>
      </c>
      <c r="Q4" s="168" t="s">
        <v>153</v>
      </c>
    </row>
    <row r="5" spans="1:17" ht="14.25" customHeight="1" x14ac:dyDescent="0.35">
      <c r="B5" s="21" t="s">
        <v>11</v>
      </c>
      <c r="F5" s="27"/>
      <c r="G5" s="23"/>
      <c r="I5" s="23"/>
      <c r="J5" s="29"/>
      <c r="K5" s="23"/>
      <c r="L5" s="26"/>
      <c r="P5" s="169">
        <v>1</v>
      </c>
      <c r="Q5" s="170">
        <v>0.2</v>
      </c>
    </row>
    <row r="6" spans="1:17" ht="14.25" customHeight="1" x14ac:dyDescent="0.35">
      <c r="B6" s="21" t="s">
        <v>125</v>
      </c>
      <c r="F6" s="22" t="s">
        <v>66</v>
      </c>
      <c r="G6" s="23">
        <v>8.1</v>
      </c>
      <c r="I6" s="23">
        <v>14.73</v>
      </c>
      <c r="K6" s="23">
        <f>11.25*1.1</f>
        <v>12.375000000000002</v>
      </c>
      <c r="L6" s="26">
        <f>$K6/(1-$N$2)</f>
        <v>17.678571428571431</v>
      </c>
      <c r="P6" s="169">
        <v>2</v>
      </c>
      <c r="Q6" s="170">
        <f>Q5+5%</f>
        <v>0.25</v>
      </c>
    </row>
    <row r="7" spans="1:17" ht="14.25" customHeight="1" x14ac:dyDescent="0.35">
      <c r="B7" s="21" t="s">
        <v>126</v>
      </c>
      <c r="C7" s="17" t="s">
        <v>18</v>
      </c>
      <c r="F7" s="27"/>
      <c r="G7" s="23"/>
      <c r="I7" s="23"/>
      <c r="J7" s="29"/>
      <c r="K7" s="23"/>
      <c r="L7" s="26"/>
      <c r="P7" s="169">
        <v>3</v>
      </c>
      <c r="Q7" s="170">
        <f t="shared" ref="Q7:Q10" si="0">Q6+5%</f>
        <v>0.3</v>
      </c>
    </row>
    <row r="8" spans="1:17" ht="14.25" customHeight="1" x14ac:dyDescent="0.35">
      <c r="B8" s="21" t="s">
        <v>128</v>
      </c>
      <c r="C8" s="21" t="s">
        <v>64</v>
      </c>
      <c r="F8" s="22" t="s">
        <v>67</v>
      </c>
      <c r="G8" s="23">
        <v>6.05</v>
      </c>
      <c r="I8" s="23">
        <v>12.61</v>
      </c>
      <c r="K8" s="23">
        <f>9.42*1.1</f>
        <v>10.362</v>
      </c>
      <c r="L8" s="26">
        <f>$K8/(1-$N$2)</f>
        <v>14.802857142857144</v>
      </c>
      <c r="P8" s="169">
        <v>4</v>
      </c>
      <c r="Q8" s="170">
        <f t="shared" si="0"/>
        <v>0.35</v>
      </c>
    </row>
    <row r="9" spans="1:17" ht="14.25" customHeight="1" x14ac:dyDescent="0.35">
      <c r="B9" s="21" t="s">
        <v>12</v>
      </c>
      <c r="C9" s="21" t="s">
        <v>65</v>
      </c>
      <c r="F9" s="27"/>
      <c r="G9" s="23"/>
      <c r="I9" s="23"/>
      <c r="K9" s="23"/>
      <c r="L9" s="26"/>
      <c r="P9" s="169">
        <v>5</v>
      </c>
      <c r="Q9" s="170">
        <f t="shared" si="0"/>
        <v>0.39999999999999997</v>
      </c>
    </row>
    <row r="10" spans="1:17" ht="14.25" customHeight="1" x14ac:dyDescent="0.35">
      <c r="B10" s="21" t="s">
        <v>129</v>
      </c>
      <c r="C10" s="28"/>
      <c r="F10" s="22" t="s">
        <v>68</v>
      </c>
      <c r="G10" s="23">
        <v>7.7</v>
      </c>
      <c r="I10" s="23">
        <v>14.71</v>
      </c>
      <c r="K10" s="23">
        <f>10.74*1.1</f>
        <v>11.814000000000002</v>
      </c>
      <c r="L10" s="26">
        <f>$K10/(1-$N$2)</f>
        <v>16.877142857142861</v>
      </c>
      <c r="P10" s="169">
        <v>6</v>
      </c>
      <c r="Q10" s="170">
        <f t="shared" si="0"/>
        <v>0.44999999999999996</v>
      </c>
    </row>
    <row r="11" spans="1:17" ht="14.25" customHeight="1" x14ac:dyDescent="0.35">
      <c r="B11" s="21" t="s">
        <v>132</v>
      </c>
      <c r="F11" s="27"/>
      <c r="G11" s="23"/>
      <c r="I11" s="23"/>
      <c r="K11" s="23"/>
      <c r="L11" s="26"/>
      <c r="P11" s="171">
        <v>7</v>
      </c>
      <c r="Q11" s="172">
        <f t="shared" ref="Q11" si="1">Q10+5%</f>
        <v>0.49999999999999994</v>
      </c>
    </row>
    <row r="12" spans="1:17" ht="14.25" customHeight="1" x14ac:dyDescent="0.35">
      <c r="B12" s="21" t="s">
        <v>1201</v>
      </c>
      <c r="F12" s="22" t="s">
        <v>69</v>
      </c>
      <c r="G12" s="23">
        <v>7.7</v>
      </c>
      <c r="I12" s="23">
        <v>14.71</v>
      </c>
      <c r="K12" s="23">
        <f>10.94*1.1</f>
        <v>12.034000000000001</v>
      </c>
      <c r="L12" s="26">
        <f>$K12/(1-$N$2)</f>
        <v>17.191428571428574</v>
      </c>
    </row>
    <row r="13" spans="1:17" ht="14.25" customHeight="1" x14ac:dyDescent="0.35">
      <c r="B13" s="21" t="s">
        <v>1200</v>
      </c>
      <c r="C13" s="17" t="s">
        <v>7</v>
      </c>
      <c r="F13" s="27"/>
      <c r="G13" s="23"/>
      <c r="I13" s="23"/>
      <c r="K13" s="23"/>
      <c r="L13" s="26"/>
    </row>
    <row r="14" spans="1:17" ht="14.25" customHeight="1" x14ac:dyDescent="0.35">
      <c r="B14" s="21" t="s">
        <v>1198</v>
      </c>
      <c r="C14" s="21" t="s">
        <v>66</v>
      </c>
      <c r="F14" s="22" t="s">
        <v>70</v>
      </c>
      <c r="G14" s="23">
        <v>7.7</v>
      </c>
      <c r="I14" s="23">
        <v>14.71</v>
      </c>
      <c r="K14" s="23">
        <f>10.68*1.1</f>
        <v>11.748000000000001</v>
      </c>
      <c r="L14" s="26">
        <f>$K14/(1-$N$2)</f>
        <v>16.782857142857146</v>
      </c>
    </row>
    <row r="15" spans="1:17" ht="14.25" customHeight="1" x14ac:dyDescent="0.35">
      <c r="B15" s="21" t="s">
        <v>1199</v>
      </c>
      <c r="C15" s="21" t="s">
        <v>67</v>
      </c>
      <c r="F15" s="27"/>
      <c r="G15" s="23"/>
      <c r="I15" s="23"/>
      <c r="J15" s="29"/>
      <c r="K15" s="23"/>
      <c r="L15" s="26"/>
    </row>
    <row r="16" spans="1:17" ht="14.25" customHeight="1" x14ac:dyDescent="0.35">
      <c r="B16" s="21" t="s">
        <v>1202</v>
      </c>
      <c r="C16" s="28"/>
      <c r="F16" s="22" t="s">
        <v>71</v>
      </c>
      <c r="G16" s="23">
        <v>6.05</v>
      </c>
      <c r="I16" s="23">
        <v>12.61</v>
      </c>
      <c r="K16" s="23">
        <f>9.21*1.1</f>
        <v>10.131000000000002</v>
      </c>
      <c r="L16" s="26">
        <f>$K16/(1-$N$2)</f>
        <v>14.472857142857146</v>
      </c>
    </row>
    <row r="17" spans="2:14" ht="14.25" customHeight="1" x14ac:dyDescent="0.35">
      <c r="B17" s="21" t="s">
        <v>1203</v>
      </c>
      <c r="F17" s="27"/>
      <c r="G17" s="23"/>
      <c r="I17" s="23"/>
      <c r="K17" s="23"/>
      <c r="L17" s="26"/>
      <c r="M17" s="127" t="s">
        <v>144</v>
      </c>
      <c r="N17" s="128" t="s">
        <v>145</v>
      </c>
    </row>
    <row r="18" spans="2:14" ht="14.25" customHeight="1" x14ac:dyDescent="0.35">
      <c r="B18" s="21" t="s">
        <v>1204</v>
      </c>
      <c r="F18" s="110" t="s">
        <v>76</v>
      </c>
      <c r="G18" s="111">
        <v>10</v>
      </c>
      <c r="H18" s="112"/>
      <c r="I18" s="111">
        <v>10</v>
      </c>
      <c r="J18" s="113"/>
      <c r="K18" s="111">
        <v>12.57</v>
      </c>
      <c r="L18" s="114">
        <v>25.78</v>
      </c>
      <c r="M18" s="114">
        <v>18.899999999999999</v>
      </c>
      <c r="N18" s="114">
        <v>17.28</v>
      </c>
    </row>
    <row r="19" spans="2:14" ht="14.25" customHeight="1" x14ac:dyDescent="0.35">
      <c r="B19" s="21" t="s">
        <v>891</v>
      </c>
      <c r="C19" s="18" t="s">
        <v>15</v>
      </c>
      <c r="F19" s="115" t="s">
        <v>77</v>
      </c>
      <c r="G19" s="23">
        <v>10</v>
      </c>
      <c r="H19" s="116"/>
      <c r="I19" s="23">
        <v>10</v>
      </c>
      <c r="J19" s="117"/>
      <c r="K19" s="23">
        <v>4.55</v>
      </c>
      <c r="L19" s="26">
        <v>9.59</v>
      </c>
      <c r="M19" s="26">
        <v>7.07</v>
      </c>
      <c r="N19" s="26">
        <v>7.07</v>
      </c>
    </row>
    <row r="20" spans="2:14" ht="14.25" customHeight="1" x14ac:dyDescent="0.35">
      <c r="B20" s="21" t="s">
        <v>892</v>
      </c>
      <c r="C20" s="16" t="s">
        <v>68</v>
      </c>
      <c r="F20" s="115" t="s">
        <v>78</v>
      </c>
      <c r="G20" s="23">
        <v>10</v>
      </c>
      <c r="H20" s="116"/>
      <c r="I20" s="23">
        <v>10</v>
      </c>
      <c r="J20" s="117"/>
      <c r="K20" s="23">
        <v>13.1</v>
      </c>
      <c r="L20" s="26">
        <v>26.75</v>
      </c>
      <c r="M20" s="26">
        <v>19.62</v>
      </c>
      <c r="N20" s="26">
        <v>17.940000000000001</v>
      </c>
    </row>
    <row r="21" spans="2:14" ht="14.25" customHeight="1" x14ac:dyDescent="0.35">
      <c r="B21" s="21" t="s">
        <v>893</v>
      </c>
      <c r="F21" s="115" t="s">
        <v>1146</v>
      </c>
      <c r="G21" s="23">
        <v>10</v>
      </c>
      <c r="H21" s="116"/>
      <c r="I21" s="23">
        <v>10</v>
      </c>
      <c r="J21" s="117"/>
      <c r="K21" s="23">
        <v>5.37</v>
      </c>
      <c r="L21" s="26">
        <v>8.4700000000000006</v>
      </c>
      <c r="M21" s="26">
        <v>7.6</v>
      </c>
      <c r="N21" s="26">
        <v>7.6</v>
      </c>
    </row>
    <row r="22" spans="2:14" ht="14.25" customHeight="1" x14ac:dyDescent="0.35">
      <c r="B22" s="21" t="s">
        <v>894</v>
      </c>
      <c r="F22" s="115" t="s">
        <v>1175</v>
      </c>
      <c r="G22" s="23">
        <v>10</v>
      </c>
      <c r="H22" s="116"/>
      <c r="I22" s="23">
        <v>10</v>
      </c>
      <c r="J22" s="117"/>
      <c r="K22" s="23">
        <v>5.89</v>
      </c>
      <c r="L22" s="26">
        <v>9.27</v>
      </c>
      <c r="M22" s="26">
        <v>8.33</v>
      </c>
      <c r="N22" s="26">
        <v>8.33</v>
      </c>
    </row>
    <row r="23" spans="2:14" ht="14.25" customHeight="1" x14ac:dyDescent="0.35">
      <c r="B23" s="21" t="s">
        <v>895</v>
      </c>
      <c r="F23" s="115" t="s">
        <v>79</v>
      </c>
      <c r="G23" s="23">
        <v>10</v>
      </c>
      <c r="H23" s="116"/>
      <c r="I23" s="23">
        <v>10</v>
      </c>
      <c r="J23" s="117"/>
      <c r="K23" s="23">
        <v>16.399999999999999</v>
      </c>
      <c r="L23" s="26">
        <v>33.270000000000003</v>
      </c>
      <c r="M23" s="26">
        <v>24.38</v>
      </c>
      <c r="N23" s="26">
        <v>22.3</v>
      </c>
    </row>
    <row r="24" spans="2:14" ht="14.25" customHeight="1" x14ac:dyDescent="0.35">
      <c r="B24" s="21" t="s">
        <v>896</v>
      </c>
      <c r="C24" s="18" t="s">
        <v>16</v>
      </c>
      <c r="F24" s="118" t="s">
        <v>80</v>
      </c>
      <c r="G24" s="35">
        <v>10</v>
      </c>
      <c r="H24" s="119"/>
      <c r="I24" s="35">
        <v>10</v>
      </c>
      <c r="J24" s="120"/>
      <c r="K24" s="35">
        <v>14.14</v>
      </c>
      <c r="L24" s="36">
        <v>29.01</v>
      </c>
      <c r="M24" s="36">
        <v>22.4</v>
      </c>
      <c r="N24" s="36">
        <v>20.53</v>
      </c>
    </row>
    <row r="25" spans="2:14" ht="14.25" customHeight="1" x14ac:dyDescent="0.35">
      <c r="B25" s="21" t="s">
        <v>897</v>
      </c>
      <c r="C25" s="16" t="s">
        <v>69</v>
      </c>
      <c r="G25" s="23"/>
      <c r="I25" s="23"/>
      <c r="K25" s="23"/>
      <c r="L25" s="26"/>
    </row>
    <row r="26" spans="2:14" ht="14.25" customHeight="1" x14ac:dyDescent="0.35">
      <c r="B26" s="21" t="s">
        <v>898</v>
      </c>
      <c r="F26" s="22" t="s">
        <v>1176</v>
      </c>
      <c r="G26" s="23"/>
      <c r="I26" s="23"/>
      <c r="K26" s="23"/>
      <c r="L26" s="26"/>
    </row>
    <row r="27" spans="2:14" ht="14.25" customHeight="1" x14ac:dyDescent="0.35">
      <c r="B27" s="21" t="s">
        <v>899</v>
      </c>
      <c r="C27" s="18" t="s">
        <v>37</v>
      </c>
      <c r="F27" s="22" t="s">
        <v>1177</v>
      </c>
      <c r="G27" s="23"/>
      <c r="I27" s="23"/>
      <c r="K27" s="23"/>
      <c r="L27" s="26"/>
    </row>
    <row r="28" spans="2:14" ht="14.25" customHeight="1" x14ac:dyDescent="0.35">
      <c r="B28" s="21" t="s">
        <v>900</v>
      </c>
      <c r="C28" s="16" t="s">
        <v>37</v>
      </c>
      <c r="G28" s="23"/>
      <c r="I28" s="23"/>
      <c r="K28" s="23"/>
      <c r="L28" s="26"/>
    </row>
    <row r="29" spans="2:14" ht="14.25" customHeight="1" x14ac:dyDescent="0.35">
      <c r="B29" s="21" t="s">
        <v>901</v>
      </c>
      <c r="D29" s="32"/>
      <c r="E29" s="32"/>
      <c r="G29" s="23"/>
      <c r="I29" s="23"/>
      <c r="K29" s="23"/>
      <c r="L29" s="26"/>
    </row>
    <row r="30" spans="2:14" ht="14.25" customHeight="1" x14ac:dyDescent="0.35">
      <c r="B30" s="21" t="s">
        <v>136</v>
      </c>
      <c r="C30" s="16" t="s">
        <v>73</v>
      </c>
      <c r="D30" s="32" t="s">
        <v>63</v>
      </c>
      <c r="E30" s="32"/>
      <c r="F30" s="31"/>
      <c r="G30" s="23"/>
      <c r="I30" s="23"/>
      <c r="K30" s="23"/>
      <c r="L30" s="26"/>
    </row>
    <row r="31" spans="2:14" ht="14.25" customHeight="1" x14ac:dyDescent="0.35">
      <c r="B31" s="30"/>
      <c r="C31" s="16" t="s">
        <v>82</v>
      </c>
      <c r="D31" s="32" t="s">
        <v>81</v>
      </c>
      <c r="E31" s="32"/>
      <c r="F31" s="22" t="s">
        <v>49</v>
      </c>
      <c r="G31" s="23">
        <v>46.23</v>
      </c>
      <c r="I31" s="23">
        <f>G31</f>
        <v>46.23</v>
      </c>
      <c r="K31" s="23">
        <f t="shared" ref="K31:K41" si="2">I31-(I31*30%)</f>
        <v>32.360999999999997</v>
      </c>
      <c r="L31" s="26">
        <f t="shared" ref="L31:L41" si="3">$K31/(1-$N$2)</f>
        <v>46.23</v>
      </c>
    </row>
    <row r="32" spans="2:14" ht="14.25" customHeight="1" x14ac:dyDescent="0.35">
      <c r="B32" s="30"/>
      <c r="C32" s="16" t="s">
        <v>85</v>
      </c>
      <c r="D32" s="32" t="s">
        <v>1116</v>
      </c>
      <c r="E32" s="32"/>
      <c r="F32" s="22" t="s">
        <v>50</v>
      </c>
      <c r="G32" s="23">
        <v>46.23</v>
      </c>
      <c r="I32" s="23">
        <f t="shared" ref="I32:I44" si="4">G32</f>
        <v>46.23</v>
      </c>
      <c r="K32" s="23">
        <f t="shared" si="2"/>
        <v>32.360999999999997</v>
      </c>
      <c r="L32" s="26">
        <f t="shared" si="3"/>
        <v>46.23</v>
      </c>
    </row>
    <row r="33" spans="2:12" ht="14.25" customHeight="1" x14ac:dyDescent="0.35">
      <c r="B33" s="30"/>
      <c r="C33" s="16" t="s">
        <v>86</v>
      </c>
      <c r="D33" s="32" t="s">
        <v>1116</v>
      </c>
      <c r="E33" s="32"/>
      <c r="F33" s="22" t="s">
        <v>51</v>
      </c>
      <c r="G33" s="23">
        <v>46.23</v>
      </c>
      <c r="I33" s="23">
        <f t="shared" si="4"/>
        <v>46.23</v>
      </c>
      <c r="K33" s="23">
        <f t="shared" si="2"/>
        <v>32.360999999999997</v>
      </c>
      <c r="L33" s="26">
        <f t="shared" si="3"/>
        <v>46.23</v>
      </c>
    </row>
    <row r="34" spans="2:12" ht="14.25" customHeight="1" x14ac:dyDescent="0.35">
      <c r="B34" s="30"/>
      <c r="C34" s="16" t="s">
        <v>88</v>
      </c>
      <c r="D34" s="32" t="s">
        <v>91</v>
      </c>
      <c r="E34" s="32"/>
      <c r="F34" s="22" t="s">
        <v>1451</v>
      </c>
      <c r="G34" s="23">
        <v>54.27</v>
      </c>
      <c r="I34" s="23">
        <f t="shared" si="4"/>
        <v>54.27</v>
      </c>
      <c r="K34" s="23">
        <f t="shared" si="2"/>
        <v>37.989000000000004</v>
      </c>
      <c r="L34" s="26">
        <f t="shared" si="3"/>
        <v>54.27000000000001</v>
      </c>
    </row>
    <row r="35" spans="2:12" ht="14.25" customHeight="1" x14ac:dyDescent="0.35">
      <c r="B35" s="30"/>
      <c r="C35" s="16" t="s">
        <v>87</v>
      </c>
      <c r="D35" s="32" t="s">
        <v>81</v>
      </c>
      <c r="E35" s="32"/>
      <c r="F35" s="22" t="s">
        <v>1452</v>
      </c>
      <c r="G35" s="23">
        <v>54.27</v>
      </c>
      <c r="I35" s="23">
        <f t="shared" si="4"/>
        <v>54.27</v>
      </c>
      <c r="K35" s="23">
        <f t="shared" si="2"/>
        <v>37.989000000000004</v>
      </c>
      <c r="L35" s="26">
        <f t="shared" si="3"/>
        <v>54.27000000000001</v>
      </c>
    </row>
    <row r="36" spans="2:12" ht="14.25" customHeight="1" x14ac:dyDescent="0.35">
      <c r="B36" s="30"/>
      <c r="C36" s="16" t="s">
        <v>90</v>
      </c>
      <c r="D36" s="32" t="s">
        <v>63</v>
      </c>
      <c r="E36" s="32"/>
      <c r="F36" s="22" t="s">
        <v>52</v>
      </c>
      <c r="G36" s="23">
        <v>54.27</v>
      </c>
      <c r="I36" s="23">
        <f t="shared" si="4"/>
        <v>54.27</v>
      </c>
      <c r="K36" s="23">
        <f t="shared" si="2"/>
        <v>37.989000000000004</v>
      </c>
      <c r="L36" s="26">
        <f t="shared" si="3"/>
        <v>54.27000000000001</v>
      </c>
    </row>
    <row r="37" spans="2:12" ht="14.25" customHeight="1" x14ac:dyDescent="0.35">
      <c r="B37" s="30"/>
      <c r="C37" s="16" t="s">
        <v>93</v>
      </c>
      <c r="D37" s="32" t="s">
        <v>27</v>
      </c>
      <c r="E37" s="32"/>
      <c r="F37" s="22" t="s">
        <v>53</v>
      </c>
      <c r="G37" s="23">
        <v>54.27</v>
      </c>
      <c r="I37" s="23">
        <f t="shared" si="4"/>
        <v>54.27</v>
      </c>
      <c r="K37" s="23">
        <f t="shared" si="2"/>
        <v>37.989000000000004</v>
      </c>
      <c r="L37" s="26">
        <f t="shared" si="3"/>
        <v>54.27000000000001</v>
      </c>
    </row>
    <row r="38" spans="2:12" ht="14.25" customHeight="1" x14ac:dyDescent="0.35">
      <c r="B38" s="30"/>
      <c r="C38" s="16" t="s">
        <v>101</v>
      </c>
      <c r="D38" s="32" t="s">
        <v>94</v>
      </c>
      <c r="E38" s="32"/>
      <c r="F38" s="22" t="s">
        <v>1453</v>
      </c>
      <c r="G38" s="23">
        <v>54.27</v>
      </c>
      <c r="I38" s="23">
        <f t="shared" si="4"/>
        <v>54.27</v>
      </c>
      <c r="K38" s="23">
        <f t="shared" si="2"/>
        <v>37.989000000000004</v>
      </c>
      <c r="L38" s="26">
        <f t="shared" si="3"/>
        <v>54.27000000000001</v>
      </c>
    </row>
    <row r="39" spans="2:12" ht="14.25" customHeight="1" x14ac:dyDescent="0.35">
      <c r="B39" s="17" t="s">
        <v>6</v>
      </c>
      <c r="C39" s="16" t="s">
        <v>102</v>
      </c>
      <c r="D39" s="32" t="s">
        <v>95</v>
      </c>
      <c r="E39" s="32"/>
      <c r="F39" s="22" t="s">
        <v>54</v>
      </c>
      <c r="G39" s="23">
        <v>54.27</v>
      </c>
      <c r="I39" s="23">
        <f t="shared" si="4"/>
        <v>54.27</v>
      </c>
      <c r="K39" s="23">
        <f t="shared" si="2"/>
        <v>37.989000000000004</v>
      </c>
      <c r="L39" s="26">
        <f t="shared" si="3"/>
        <v>54.27000000000001</v>
      </c>
    </row>
    <row r="40" spans="2:12" ht="14.25" customHeight="1" x14ac:dyDescent="0.35">
      <c r="B40" s="21" t="s">
        <v>14</v>
      </c>
      <c r="C40" s="16" t="s">
        <v>103</v>
      </c>
      <c r="D40" s="32" t="s">
        <v>1116</v>
      </c>
      <c r="E40" s="32"/>
      <c r="F40" s="22" t="s">
        <v>55</v>
      </c>
      <c r="G40" s="23">
        <v>62.77</v>
      </c>
      <c r="I40" s="23">
        <f t="shared" si="4"/>
        <v>62.77</v>
      </c>
      <c r="K40" s="23">
        <f t="shared" si="2"/>
        <v>43.939000000000007</v>
      </c>
      <c r="L40" s="26">
        <f t="shared" si="3"/>
        <v>62.770000000000017</v>
      </c>
    </row>
    <row r="41" spans="2:12" ht="14.25" customHeight="1" x14ac:dyDescent="0.35">
      <c r="B41" s="21" t="s">
        <v>26</v>
      </c>
      <c r="C41" s="16" t="s">
        <v>104</v>
      </c>
      <c r="D41" s="32" t="s">
        <v>1116</v>
      </c>
      <c r="E41" s="32"/>
      <c r="F41" s="22" t="s">
        <v>1448</v>
      </c>
      <c r="G41" s="23">
        <v>46.23</v>
      </c>
      <c r="I41" s="23">
        <f t="shared" si="4"/>
        <v>46.23</v>
      </c>
      <c r="K41" s="23">
        <f t="shared" si="2"/>
        <v>32.360999999999997</v>
      </c>
      <c r="L41" s="26">
        <f t="shared" si="3"/>
        <v>46.23</v>
      </c>
    </row>
    <row r="42" spans="2:12" ht="14.25" customHeight="1" x14ac:dyDescent="0.35">
      <c r="B42" s="33" t="s">
        <v>37</v>
      </c>
      <c r="C42" s="16" t="s">
        <v>107</v>
      </c>
      <c r="D42" s="32" t="s">
        <v>97</v>
      </c>
      <c r="E42" s="32"/>
      <c r="F42" s="22" t="s">
        <v>1449</v>
      </c>
      <c r="G42" s="23">
        <v>46.23</v>
      </c>
      <c r="I42" s="23">
        <f t="shared" si="4"/>
        <v>46.23</v>
      </c>
      <c r="K42" s="23">
        <f>I42-(I42*30%)</f>
        <v>32.360999999999997</v>
      </c>
      <c r="L42" s="26">
        <f>$K42/(1-$N$2)</f>
        <v>46.23</v>
      </c>
    </row>
    <row r="43" spans="2:12" ht="14.25" customHeight="1" x14ac:dyDescent="0.35">
      <c r="B43" s="34" t="s">
        <v>111</v>
      </c>
      <c r="C43" s="16" t="s">
        <v>84</v>
      </c>
      <c r="D43" s="32" t="s">
        <v>96</v>
      </c>
      <c r="E43" s="32"/>
      <c r="F43" s="22" t="s">
        <v>1450</v>
      </c>
      <c r="G43" s="23">
        <v>54.27</v>
      </c>
      <c r="I43" s="23">
        <f t="shared" si="4"/>
        <v>54.27</v>
      </c>
      <c r="K43" s="23">
        <f>I43-(I43*30%)</f>
        <v>37.989000000000004</v>
      </c>
      <c r="L43" s="26">
        <f>$K43/(1-$N$2)</f>
        <v>54.27000000000001</v>
      </c>
    </row>
    <row r="44" spans="2:12" ht="14.25" customHeight="1" x14ac:dyDescent="0.35">
      <c r="B44" s="30"/>
      <c r="C44" s="16" t="s">
        <v>99</v>
      </c>
      <c r="D44" s="32" t="s">
        <v>97</v>
      </c>
      <c r="E44" s="32"/>
      <c r="F44" s="22" t="s">
        <v>1454</v>
      </c>
      <c r="G44" s="23">
        <v>62.77</v>
      </c>
      <c r="I44" s="23">
        <f t="shared" si="4"/>
        <v>62.77</v>
      </c>
      <c r="K44" s="23">
        <f>I44-(I44*30%)</f>
        <v>43.939000000000007</v>
      </c>
      <c r="L44" s="26">
        <f>$K44/(1-$N$2)</f>
        <v>62.770000000000017</v>
      </c>
    </row>
    <row r="45" spans="2:12" ht="14.25" customHeight="1" x14ac:dyDescent="0.35">
      <c r="B45" s="30"/>
      <c r="C45" s="16" t="s">
        <v>105</v>
      </c>
      <c r="D45" s="32" t="s">
        <v>98</v>
      </c>
      <c r="E45" s="32"/>
      <c r="F45" s="22" t="s">
        <v>40</v>
      </c>
      <c r="G45" s="23">
        <v>6.09</v>
      </c>
      <c r="I45" s="23">
        <v>6.09</v>
      </c>
      <c r="K45" s="23">
        <f t="shared" ref="K45:K53" si="5">I45-(I45*30%)</f>
        <v>4.2629999999999999</v>
      </c>
      <c r="L45" s="26">
        <f t="shared" ref="L45:L53" si="6">$K45/(1-$N$2)</f>
        <v>6.09</v>
      </c>
    </row>
    <row r="46" spans="2:12" ht="14.25" customHeight="1" x14ac:dyDescent="0.35">
      <c r="B46" s="30"/>
      <c r="C46" s="16" t="s">
        <v>106</v>
      </c>
      <c r="D46" s="32" t="s">
        <v>62</v>
      </c>
      <c r="E46" s="32"/>
      <c r="F46" s="22" t="s">
        <v>48</v>
      </c>
      <c r="G46" s="23">
        <v>8.99</v>
      </c>
      <c r="I46" s="23">
        <v>8.99</v>
      </c>
      <c r="K46" s="23">
        <f t="shared" si="5"/>
        <v>6.2930000000000001</v>
      </c>
      <c r="L46" s="26">
        <f t="shared" si="6"/>
        <v>8.99</v>
      </c>
    </row>
    <row r="47" spans="2:12" ht="14.25" customHeight="1" x14ac:dyDescent="0.35">
      <c r="B47" s="17" t="s">
        <v>13</v>
      </c>
      <c r="C47" s="16" t="s">
        <v>100</v>
      </c>
      <c r="D47" s="32" t="s">
        <v>61</v>
      </c>
      <c r="E47" s="32"/>
      <c r="F47" s="22" t="s">
        <v>41</v>
      </c>
      <c r="G47" s="23">
        <v>8.9499999999999993</v>
      </c>
      <c r="I47" s="23">
        <v>8.9499999999999993</v>
      </c>
      <c r="K47" s="23">
        <f t="shared" si="5"/>
        <v>6.2649999999999997</v>
      </c>
      <c r="L47" s="26">
        <f t="shared" si="6"/>
        <v>8.9499999999999993</v>
      </c>
    </row>
    <row r="48" spans="2:12" ht="14.25" customHeight="1" x14ac:dyDescent="0.35">
      <c r="B48" s="21" t="s">
        <v>72</v>
      </c>
      <c r="C48" s="16" t="s">
        <v>56</v>
      </c>
      <c r="D48" s="32" t="s">
        <v>29</v>
      </c>
      <c r="E48" s="32"/>
      <c r="F48" s="22" t="s">
        <v>42</v>
      </c>
      <c r="G48" s="23">
        <v>8.9499999999999993</v>
      </c>
      <c r="I48" s="23">
        <v>8.9499999999999993</v>
      </c>
      <c r="K48" s="23">
        <f t="shared" si="5"/>
        <v>6.2649999999999997</v>
      </c>
      <c r="L48" s="26">
        <f t="shared" si="6"/>
        <v>8.9499999999999993</v>
      </c>
    </row>
    <row r="49" spans="2:12" ht="14.25" customHeight="1" x14ac:dyDescent="0.35">
      <c r="B49" s="21" t="s">
        <v>74</v>
      </c>
      <c r="C49" s="16" t="s">
        <v>57</v>
      </c>
      <c r="D49" s="32" t="s">
        <v>30</v>
      </c>
      <c r="E49" s="32"/>
      <c r="F49" s="22" t="s">
        <v>43</v>
      </c>
      <c r="G49" s="23">
        <v>8.9499999999999993</v>
      </c>
      <c r="I49" s="23">
        <v>8.9499999999999993</v>
      </c>
      <c r="K49" s="23">
        <f t="shared" si="5"/>
        <v>6.2649999999999997</v>
      </c>
      <c r="L49" s="26">
        <f t="shared" si="6"/>
        <v>8.9499999999999993</v>
      </c>
    </row>
    <row r="50" spans="2:12" ht="14.25" customHeight="1" x14ac:dyDescent="0.35">
      <c r="B50" s="21" t="s">
        <v>75</v>
      </c>
      <c r="C50" s="16" t="s">
        <v>58</v>
      </c>
      <c r="D50" s="32" t="s">
        <v>28</v>
      </c>
      <c r="E50" s="32"/>
      <c r="F50" s="22" t="s">
        <v>44</v>
      </c>
      <c r="G50" s="23">
        <v>13.23</v>
      </c>
      <c r="I50" s="23">
        <v>13.24</v>
      </c>
      <c r="K50" s="23">
        <f t="shared" si="5"/>
        <v>9.2680000000000007</v>
      </c>
      <c r="L50" s="26">
        <f t="shared" si="6"/>
        <v>13.240000000000002</v>
      </c>
    </row>
    <row r="51" spans="2:12" ht="14.25" customHeight="1" x14ac:dyDescent="0.35">
      <c r="B51" s="21" t="s">
        <v>89</v>
      </c>
      <c r="C51" s="16" t="s">
        <v>59</v>
      </c>
      <c r="D51" s="32" t="s">
        <v>27</v>
      </c>
      <c r="E51" s="32"/>
      <c r="F51" s="22" t="s">
        <v>45</v>
      </c>
      <c r="G51" s="23">
        <v>16.920000000000002</v>
      </c>
      <c r="I51" s="23">
        <v>16.93</v>
      </c>
      <c r="K51" s="23">
        <f t="shared" si="5"/>
        <v>11.850999999999999</v>
      </c>
      <c r="L51" s="26">
        <f t="shared" si="6"/>
        <v>16.93</v>
      </c>
    </row>
    <row r="52" spans="2:12" ht="14.25" customHeight="1" x14ac:dyDescent="0.35">
      <c r="B52" s="21" t="s">
        <v>92</v>
      </c>
      <c r="D52" s="30"/>
      <c r="E52" s="30"/>
      <c r="F52" s="22" t="s">
        <v>46</v>
      </c>
      <c r="G52" s="23">
        <v>22.63</v>
      </c>
      <c r="I52" s="23">
        <v>22.64</v>
      </c>
      <c r="K52" s="23">
        <f t="shared" si="5"/>
        <v>15.848000000000001</v>
      </c>
      <c r="L52" s="26">
        <f t="shared" si="6"/>
        <v>22.640000000000004</v>
      </c>
    </row>
    <row r="53" spans="2:12" ht="14.25" customHeight="1" x14ac:dyDescent="0.35">
      <c r="B53" s="21"/>
      <c r="D53" s="30"/>
      <c r="E53" s="30"/>
      <c r="F53" s="22" t="s">
        <v>47</v>
      </c>
      <c r="G53" s="23">
        <v>23.09</v>
      </c>
      <c r="I53" s="23">
        <v>23.09</v>
      </c>
      <c r="K53" s="23">
        <f t="shared" si="5"/>
        <v>16.163</v>
      </c>
      <c r="L53" s="26">
        <f t="shared" si="6"/>
        <v>23.090000000000003</v>
      </c>
    </row>
    <row r="54" spans="2:12" ht="14.25" customHeight="1" x14ac:dyDescent="0.35">
      <c r="B54" s="28"/>
      <c r="D54" s="30"/>
      <c r="E54" s="30"/>
      <c r="G54" s="23"/>
      <c r="I54" s="23"/>
      <c r="K54" s="23"/>
      <c r="L54" s="26"/>
    </row>
    <row r="55" spans="2:12" ht="14.25" customHeight="1" x14ac:dyDescent="0.35">
      <c r="B55" s="17" t="s">
        <v>33</v>
      </c>
      <c r="C55" s="18"/>
      <c r="D55" s="30"/>
      <c r="E55" s="30"/>
      <c r="G55" s="23"/>
      <c r="I55" s="23"/>
      <c r="K55" s="23">
        <f>I55-(I55*30%)</f>
        <v>0</v>
      </c>
      <c r="L55" s="26">
        <f>$K55/(1-$N$2)</f>
        <v>0</v>
      </c>
    </row>
    <row r="56" spans="2:12" ht="14.25" customHeight="1" x14ac:dyDescent="0.35">
      <c r="B56" s="21" t="s">
        <v>76</v>
      </c>
      <c r="D56" s="30"/>
      <c r="E56" s="30"/>
      <c r="G56" s="35"/>
      <c r="I56" s="35"/>
      <c r="K56" s="35">
        <f>I56-(I56*30%)</f>
        <v>0</v>
      </c>
      <c r="L56" s="36">
        <f>$K56/(1-$N$2)</f>
        <v>0</v>
      </c>
    </row>
    <row r="57" spans="2:12" ht="14.25" customHeight="1" x14ac:dyDescent="0.35">
      <c r="B57" s="21" t="s">
        <v>77</v>
      </c>
      <c r="D57" s="30"/>
      <c r="E57" s="30"/>
      <c r="G57" s="37"/>
      <c r="I57" s="37"/>
      <c r="K57" s="37"/>
      <c r="L57" s="37"/>
    </row>
    <row r="58" spans="2:12" ht="14.25" customHeight="1" x14ac:dyDescent="0.35">
      <c r="B58" s="115" t="s">
        <v>1146</v>
      </c>
      <c r="C58" s="30"/>
      <c r="D58" s="30"/>
      <c r="E58" s="30"/>
      <c r="G58" s="37"/>
      <c r="I58" s="37"/>
      <c r="K58" s="37"/>
      <c r="L58" s="37"/>
    </row>
    <row r="59" spans="2:12" ht="14.25" customHeight="1" x14ac:dyDescent="0.35">
      <c r="B59" s="115" t="s">
        <v>1175</v>
      </c>
      <c r="D59" s="30"/>
      <c r="E59" s="30"/>
      <c r="G59" s="37"/>
      <c r="I59" s="37"/>
      <c r="K59" s="37"/>
      <c r="L59" s="37"/>
    </row>
    <row r="60" spans="2:12" ht="14.25" customHeight="1" x14ac:dyDescent="0.35">
      <c r="B60" s="21" t="s">
        <v>78</v>
      </c>
      <c r="D60" s="30"/>
      <c r="E60" s="30"/>
      <c r="G60" s="37"/>
      <c r="I60" s="37"/>
      <c r="K60" s="37"/>
      <c r="L60" s="37"/>
    </row>
    <row r="61" spans="2:12" ht="14.25" customHeight="1" x14ac:dyDescent="0.35">
      <c r="B61" s="21" t="s">
        <v>79</v>
      </c>
      <c r="D61" s="30"/>
      <c r="E61" s="30"/>
      <c r="G61" s="37"/>
      <c r="I61" s="37"/>
      <c r="K61" s="37"/>
      <c r="L61" s="37"/>
    </row>
    <row r="62" spans="2:12" ht="14.25" customHeight="1" x14ac:dyDescent="0.35">
      <c r="B62" s="21" t="s">
        <v>80</v>
      </c>
      <c r="D62" s="30"/>
      <c r="E62" s="30"/>
      <c r="G62" s="37"/>
      <c r="I62" s="37"/>
      <c r="K62" s="37"/>
      <c r="L62" s="37"/>
    </row>
    <row r="63" spans="2:12" ht="14.25" customHeight="1" x14ac:dyDescent="0.35">
      <c r="B63" s="28"/>
      <c r="D63" s="30"/>
      <c r="E63" s="30"/>
      <c r="G63" s="37"/>
      <c r="I63" s="37"/>
      <c r="K63" s="37"/>
      <c r="L63" s="37"/>
    </row>
    <row r="64" spans="2:12" ht="14.25" customHeight="1" x14ac:dyDescent="0.35">
      <c r="D64" s="30"/>
      <c r="E64" s="30"/>
      <c r="G64" s="37"/>
      <c r="I64" s="37"/>
      <c r="K64" s="37"/>
      <c r="L64" s="37"/>
    </row>
    <row r="65" spans="3:12" ht="14.25" customHeight="1" x14ac:dyDescent="0.35">
      <c r="D65" s="30"/>
      <c r="E65" s="30"/>
      <c r="G65" s="37"/>
      <c r="I65" s="37"/>
      <c r="K65" s="37"/>
      <c r="L65" s="37"/>
    </row>
    <row r="66" spans="3:12" ht="14.25" customHeight="1" x14ac:dyDescent="0.35">
      <c r="C66" s="30"/>
      <c r="D66" s="30"/>
      <c r="E66" s="30"/>
      <c r="G66" s="37"/>
      <c r="I66" s="37"/>
      <c r="K66" s="37"/>
      <c r="L66" s="37"/>
    </row>
    <row r="67" spans="3:12" ht="14.25" customHeight="1" x14ac:dyDescent="0.35">
      <c r="C67" s="30"/>
      <c r="D67" s="30"/>
      <c r="E67" s="30"/>
      <c r="G67" s="37"/>
      <c r="I67" s="37"/>
      <c r="K67" s="37"/>
      <c r="L67" s="37"/>
    </row>
    <row r="68" spans="3:12" ht="14.25" customHeight="1" x14ac:dyDescent="0.35">
      <c r="C68" s="30"/>
      <c r="D68" s="30"/>
      <c r="E68" s="30"/>
      <c r="G68" s="37"/>
      <c r="I68" s="37"/>
      <c r="K68" s="37"/>
      <c r="L68" s="37"/>
    </row>
    <row r="69" spans="3:12" ht="14.25" customHeight="1" x14ac:dyDescent="0.35">
      <c r="C69" s="30"/>
      <c r="D69" s="30"/>
      <c r="E69" s="30"/>
      <c r="G69" s="37"/>
      <c r="I69" s="37"/>
      <c r="K69" s="37"/>
      <c r="L69" s="37"/>
    </row>
    <row r="70" spans="3:12" ht="14.25" customHeight="1" x14ac:dyDescent="0.35">
      <c r="C70" s="30"/>
      <c r="D70" s="30"/>
      <c r="E70" s="30"/>
      <c r="G70" s="37"/>
      <c r="I70" s="37"/>
      <c r="K70" s="37"/>
      <c r="L70" s="37"/>
    </row>
    <row r="71" spans="3:12" ht="14.25" customHeight="1" x14ac:dyDescent="0.35">
      <c r="C71" s="30"/>
      <c r="D71" s="30"/>
      <c r="E71" s="30"/>
      <c r="G71" s="37"/>
      <c r="I71" s="37"/>
      <c r="K71" s="37"/>
      <c r="L71" s="37"/>
    </row>
    <row r="72" spans="3:12" ht="14.25" customHeight="1" x14ac:dyDescent="0.35">
      <c r="C72" s="30"/>
      <c r="D72" s="30"/>
      <c r="E72" s="30"/>
      <c r="G72" s="37"/>
      <c r="I72" s="37"/>
      <c r="K72" s="37"/>
      <c r="L72" s="37"/>
    </row>
    <row r="73" spans="3:12" ht="14.25" customHeight="1" x14ac:dyDescent="0.35">
      <c r="C73" s="30"/>
      <c r="D73" s="30"/>
      <c r="E73" s="30"/>
      <c r="G73" s="37"/>
      <c r="I73" s="37"/>
      <c r="K73" s="37"/>
      <c r="L73" s="37"/>
    </row>
    <row r="74" spans="3:12" ht="14.25" customHeight="1" x14ac:dyDescent="0.35">
      <c r="C74" s="30"/>
      <c r="D74" s="30"/>
      <c r="E74" s="30"/>
      <c r="G74" s="37"/>
      <c r="I74" s="37"/>
      <c r="K74" s="37"/>
      <c r="L74" s="37"/>
    </row>
    <row r="75" spans="3:12" ht="14.25" customHeight="1" x14ac:dyDescent="0.35">
      <c r="C75" s="30"/>
      <c r="D75" s="30"/>
      <c r="E75" s="30"/>
      <c r="G75" s="37"/>
      <c r="I75" s="37"/>
      <c r="K75" s="37"/>
      <c r="L75" s="37"/>
    </row>
    <row r="76" spans="3:12" ht="14.25" customHeight="1" x14ac:dyDescent="0.35">
      <c r="C76" s="30"/>
      <c r="D76" s="30"/>
      <c r="E76" s="30"/>
      <c r="G76" s="37"/>
      <c r="I76" s="37"/>
      <c r="K76" s="37"/>
      <c r="L76" s="37"/>
    </row>
    <row r="77" spans="3:12" ht="14.25" customHeight="1" x14ac:dyDescent="0.35">
      <c r="C77" s="30"/>
      <c r="D77" s="30"/>
      <c r="E77" s="30"/>
      <c r="G77" s="37"/>
      <c r="I77" s="37"/>
      <c r="K77" s="37"/>
      <c r="L77" s="37"/>
    </row>
    <row r="78" spans="3:12" ht="14.25" customHeight="1" x14ac:dyDescent="0.35">
      <c r="C78" s="30"/>
      <c r="D78" s="30"/>
      <c r="E78" s="30"/>
      <c r="G78" s="37"/>
      <c r="I78" s="37"/>
      <c r="K78" s="37"/>
      <c r="L78" s="37"/>
    </row>
    <row r="79" spans="3:12" ht="14.25" customHeight="1" x14ac:dyDescent="0.35">
      <c r="C79" s="30"/>
      <c r="D79" s="30"/>
      <c r="E79" s="30"/>
      <c r="G79" s="37"/>
      <c r="I79" s="37"/>
      <c r="K79" s="37"/>
      <c r="L79" s="37"/>
    </row>
    <row r="80" spans="3:12" ht="14.25" customHeight="1" x14ac:dyDescent="0.35">
      <c r="C80" s="30"/>
      <c r="D80" s="30"/>
      <c r="E80" s="30"/>
      <c r="G80" s="37"/>
      <c r="I80" s="37"/>
      <c r="K80" s="37"/>
      <c r="L80" s="37"/>
    </row>
    <row r="81" spans="2:12" ht="14.25" customHeight="1" x14ac:dyDescent="0.35">
      <c r="C81" s="30"/>
      <c r="D81" s="30"/>
      <c r="E81" s="30"/>
      <c r="G81" s="37"/>
      <c r="I81" s="37"/>
      <c r="K81" s="37"/>
      <c r="L81" s="37"/>
    </row>
    <row r="82" spans="2:12" ht="14.25" customHeight="1" x14ac:dyDescent="0.35">
      <c r="C82" s="30"/>
      <c r="D82" s="30"/>
      <c r="E82" s="30"/>
      <c r="G82" s="37"/>
      <c r="I82" s="37"/>
      <c r="K82" s="37"/>
      <c r="L82" s="37"/>
    </row>
    <row r="83" spans="2:12" ht="14.25" customHeight="1" x14ac:dyDescent="0.35">
      <c r="C83" s="30"/>
      <c r="D83" s="30"/>
      <c r="E83" s="30"/>
      <c r="G83" s="37"/>
      <c r="I83" s="37"/>
      <c r="K83" s="37"/>
      <c r="L83" s="37"/>
    </row>
    <row r="84" spans="2:12" ht="14.25" customHeight="1" x14ac:dyDescent="0.35">
      <c r="C84" s="30"/>
      <c r="D84" s="30"/>
      <c r="E84" s="30"/>
      <c r="G84" s="37"/>
      <c r="I84" s="37"/>
      <c r="K84" s="37"/>
      <c r="L84" s="37"/>
    </row>
    <row r="85" spans="2:12" ht="14.25" customHeight="1" x14ac:dyDescent="0.35">
      <c r="C85" s="30"/>
      <c r="D85" s="30"/>
      <c r="E85" s="30"/>
      <c r="G85" s="37"/>
      <c r="I85" s="37"/>
      <c r="K85" s="37"/>
      <c r="L85" s="37"/>
    </row>
    <row r="86" spans="2:12" ht="14.25" customHeight="1" x14ac:dyDescent="0.35">
      <c r="C86" s="30"/>
      <c r="D86" s="30"/>
      <c r="E86" s="30"/>
      <c r="G86" s="37"/>
      <c r="I86" s="37"/>
      <c r="K86" s="37"/>
      <c r="L86" s="37"/>
    </row>
    <row r="87" spans="2:12" ht="14.25" customHeight="1" x14ac:dyDescent="0.35">
      <c r="C87" s="30"/>
      <c r="D87" s="30"/>
      <c r="E87" s="30"/>
      <c r="G87" s="37"/>
      <c r="I87" s="37"/>
      <c r="K87" s="37"/>
      <c r="L87" s="37"/>
    </row>
    <row r="88" spans="2:12" ht="14.25" customHeight="1" x14ac:dyDescent="0.35">
      <c r="C88" s="30"/>
      <c r="D88" s="30"/>
      <c r="E88" s="30"/>
      <c r="F88" s="16"/>
      <c r="G88" s="37"/>
      <c r="I88" s="37"/>
      <c r="K88" s="37"/>
      <c r="L88" s="37"/>
    </row>
    <row r="89" spans="2:12" ht="14.25" customHeight="1" x14ac:dyDescent="0.35">
      <c r="C89" s="30"/>
      <c r="D89" s="30"/>
      <c r="E89" s="30"/>
      <c r="F89" s="38"/>
      <c r="G89" s="37"/>
      <c r="I89" s="37"/>
      <c r="K89" s="37"/>
      <c r="L89" s="37"/>
    </row>
    <row r="90" spans="2:12" ht="14.25" customHeight="1" x14ac:dyDescent="0.35">
      <c r="C90" s="30"/>
      <c r="D90" s="30"/>
      <c r="E90" s="30"/>
      <c r="F90" s="16"/>
      <c r="G90" s="37"/>
      <c r="I90" s="37"/>
      <c r="K90" s="37"/>
      <c r="L90" s="37"/>
    </row>
    <row r="91" spans="2:12" ht="14.25" customHeight="1" x14ac:dyDescent="0.35">
      <c r="C91" s="30"/>
      <c r="D91" s="30"/>
      <c r="E91" s="30"/>
      <c r="F91" s="16"/>
      <c r="G91" s="37"/>
      <c r="I91" s="37"/>
      <c r="K91" s="37"/>
      <c r="L91" s="37"/>
    </row>
    <row r="92" spans="2:12" ht="14.25" customHeight="1" x14ac:dyDescent="0.35">
      <c r="B92" s="18"/>
      <c r="C92" s="30"/>
      <c r="D92" s="30"/>
      <c r="E92" s="30"/>
      <c r="G92" s="37"/>
      <c r="I92" s="37"/>
      <c r="K92" s="37"/>
      <c r="L92" s="37"/>
    </row>
    <row r="93" spans="2:12" ht="14.25" customHeight="1" x14ac:dyDescent="0.35">
      <c r="B93" s="22"/>
      <c r="C93" s="30"/>
      <c r="D93" s="18"/>
      <c r="E93" s="18"/>
      <c r="G93" s="37"/>
      <c r="I93" s="37"/>
      <c r="K93" s="37"/>
      <c r="L93" s="37"/>
    </row>
    <row r="94" spans="2:12" ht="14.25" customHeight="1" x14ac:dyDescent="0.35">
      <c r="B94" s="22"/>
      <c r="C94" s="30"/>
      <c r="G94" s="37"/>
      <c r="I94" s="37"/>
      <c r="K94" s="37"/>
      <c r="L94" s="37"/>
    </row>
    <row r="95" spans="2:12" ht="14.25" customHeight="1" x14ac:dyDescent="0.35">
      <c r="B95" s="22"/>
      <c r="C95" s="30"/>
      <c r="G95" s="37"/>
      <c r="I95" s="37"/>
      <c r="K95" s="37"/>
      <c r="L95" s="37"/>
    </row>
    <row r="96" spans="2:12" ht="14.25" customHeight="1" x14ac:dyDescent="0.35">
      <c r="B96" s="22"/>
      <c r="C96" s="30"/>
      <c r="G96" s="37"/>
      <c r="I96" s="37"/>
      <c r="K96" s="37"/>
      <c r="L96" s="37"/>
    </row>
    <row r="97" spans="2:12" ht="14.25" customHeight="1" x14ac:dyDescent="0.35">
      <c r="B97" s="22"/>
      <c r="C97" s="30"/>
      <c r="D97" s="30"/>
      <c r="E97" s="30"/>
      <c r="G97" s="37"/>
      <c r="I97" s="37"/>
      <c r="K97" s="37"/>
      <c r="L97" s="37"/>
    </row>
    <row r="98" spans="2:12" ht="14.25" customHeight="1" x14ac:dyDescent="0.35">
      <c r="B98" s="22"/>
      <c r="C98" s="30"/>
      <c r="D98" s="30"/>
      <c r="E98" s="30"/>
      <c r="G98" s="37"/>
      <c r="I98" s="37"/>
      <c r="K98" s="37"/>
      <c r="L98" s="37"/>
    </row>
    <row r="99" spans="2:12" ht="14.25" customHeight="1" x14ac:dyDescent="0.35">
      <c r="B99" s="22"/>
      <c r="C99" s="30"/>
      <c r="D99" s="30"/>
      <c r="E99" s="30"/>
      <c r="G99" s="37"/>
      <c r="I99" s="37"/>
      <c r="K99" s="37"/>
      <c r="L99" s="37"/>
    </row>
    <row r="100" spans="2:12" ht="14.25" customHeight="1" x14ac:dyDescent="0.35">
      <c r="B100" s="22"/>
      <c r="C100" s="30"/>
      <c r="D100" s="30"/>
      <c r="E100" s="30"/>
    </row>
    <row r="101" spans="2:12" ht="14.25" customHeight="1" x14ac:dyDescent="0.35">
      <c r="C101" s="30"/>
      <c r="D101" s="30"/>
      <c r="E101" s="30"/>
    </row>
    <row r="102" spans="2:12" ht="14.25" customHeight="1" x14ac:dyDescent="0.35">
      <c r="C102" s="30"/>
      <c r="D102" s="30"/>
      <c r="E102" s="30"/>
    </row>
    <row r="103" spans="2:12" ht="14.25" customHeight="1" x14ac:dyDescent="0.35">
      <c r="C103" s="30"/>
      <c r="D103" s="30"/>
      <c r="E103" s="30"/>
    </row>
    <row r="104" spans="2:12" ht="14.25" customHeight="1" x14ac:dyDescent="0.35">
      <c r="C104" s="30"/>
      <c r="D104" s="30"/>
      <c r="E104" s="30"/>
    </row>
    <row r="105" spans="2:12" ht="14.25" customHeight="1" x14ac:dyDescent="0.35">
      <c r="B105" s="18"/>
      <c r="C105" s="30"/>
      <c r="D105" s="30"/>
      <c r="E105" s="30"/>
    </row>
    <row r="106" spans="2:12" ht="14.25" customHeight="1" x14ac:dyDescent="0.35">
      <c r="C106" s="30"/>
      <c r="D106" s="30"/>
      <c r="E106" s="30"/>
    </row>
    <row r="107" spans="2:12" ht="14.25" customHeight="1" x14ac:dyDescent="0.35">
      <c r="C107" s="30"/>
      <c r="D107" s="30"/>
      <c r="E107" s="30"/>
    </row>
    <row r="108" spans="2:12" ht="14.25" customHeight="1" x14ac:dyDescent="0.35">
      <c r="C108" s="30"/>
      <c r="D108" s="30"/>
      <c r="E108" s="30"/>
    </row>
    <row r="109" spans="2:12" ht="14.25" customHeight="1" x14ac:dyDescent="0.35">
      <c r="C109" s="30"/>
      <c r="D109" s="30"/>
      <c r="E109" s="30"/>
    </row>
    <row r="110" spans="2:12" ht="14.25" customHeight="1" x14ac:dyDescent="0.35">
      <c r="C110" s="30"/>
      <c r="D110" s="30"/>
      <c r="E110" s="30"/>
    </row>
    <row r="111" spans="2:12" ht="14.25" customHeight="1" x14ac:dyDescent="0.35">
      <c r="C111" s="30"/>
      <c r="D111" s="30"/>
      <c r="E111" s="30"/>
    </row>
    <row r="112" spans="2:12" ht="14.25" customHeight="1" x14ac:dyDescent="0.35">
      <c r="C112" s="30"/>
      <c r="D112" s="30"/>
      <c r="E112" s="30"/>
    </row>
    <row r="113" spans="3:5" ht="14.25" customHeight="1" x14ac:dyDescent="0.35">
      <c r="C113" s="30"/>
      <c r="D113" s="30"/>
      <c r="E113" s="30"/>
    </row>
    <row r="114" spans="3:5" ht="14.25" customHeight="1" x14ac:dyDescent="0.35">
      <c r="C114" s="30"/>
      <c r="D114" s="30"/>
      <c r="E114" s="30"/>
    </row>
    <row r="115" spans="3:5" ht="14.25" customHeight="1" x14ac:dyDescent="0.35">
      <c r="C115" s="30"/>
      <c r="D115" s="30"/>
      <c r="E115" s="30"/>
    </row>
    <row r="116" spans="3:5" ht="14.25" customHeight="1" x14ac:dyDescent="0.35">
      <c r="C116" s="30"/>
      <c r="D116" s="30"/>
      <c r="E116" s="30"/>
    </row>
    <row r="117" spans="3:5" ht="14.25" customHeight="1" x14ac:dyDescent="0.35">
      <c r="C117" s="30"/>
      <c r="D117" s="30"/>
      <c r="E117" s="30"/>
    </row>
    <row r="118" spans="3:5" ht="14.25" customHeight="1" x14ac:dyDescent="0.35">
      <c r="C118" s="30"/>
      <c r="D118" s="30"/>
      <c r="E118" s="30"/>
    </row>
    <row r="119" spans="3:5" ht="14.25" customHeight="1" x14ac:dyDescent="0.35">
      <c r="C119" s="30"/>
      <c r="D119" s="30"/>
      <c r="E119" s="30"/>
    </row>
    <row r="120" spans="3:5" ht="14.25" customHeight="1" x14ac:dyDescent="0.35">
      <c r="C120" s="30"/>
      <c r="D120" s="30"/>
      <c r="E120" s="30"/>
    </row>
    <row r="121" spans="3:5" ht="14.25" customHeight="1" x14ac:dyDescent="0.35">
      <c r="D121" s="30"/>
      <c r="E121" s="30"/>
    </row>
    <row r="122" spans="3:5" ht="14.25" customHeight="1" x14ac:dyDescent="0.35">
      <c r="D122" s="30"/>
      <c r="E122" s="30"/>
    </row>
    <row r="123" spans="3:5" ht="14.25" customHeight="1" x14ac:dyDescent="0.35">
      <c r="D123" s="30"/>
      <c r="E123" s="30"/>
    </row>
    <row r="124" spans="3:5" ht="14.25" customHeight="1" x14ac:dyDescent="0.35">
      <c r="D124" s="30"/>
      <c r="E124" s="30"/>
    </row>
    <row r="125" spans="3:5" ht="14.25" customHeight="1" x14ac:dyDescent="0.35">
      <c r="D125" s="30"/>
      <c r="E125" s="30"/>
    </row>
    <row r="126" spans="3:5" ht="14.25" customHeight="1" x14ac:dyDescent="0.35">
      <c r="D126" s="30"/>
      <c r="E126" s="30"/>
    </row>
    <row r="127" spans="3:5" ht="14.25" customHeight="1" x14ac:dyDescent="0.35">
      <c r="D127" s="30"/>
      <c r="E127" s="30"/>
    </row>
  </sheetData>
  <autoFilter ref="F1:F3731" xr:uid="{00000000-0009-0000-0000-000006000000}"/>
  <pageMargins left="0.19" right="0.17" top="0.31" bottom="0.28000000000000003" header="0.18" footer="0.16"/>
  <pageSetup scale="65" orientation="portrait" r:id="rId1"/>
  <headerFooter alignWithMargins="0"/>
  <rowBreaks count="5" manualBreakCount="5">
    <brk id="62" max="16383" man="1"/>
    <brk id="191" max="16383" man="1"/>
    <brk id="326" max="16383" man="1"/>
    <brk id="460" max="16383" man="1"/>
    <brk id="572" max="16383" man="1"/>
  </rowBreaks>
  <colBreaks count="1" manualBreakCount="1">
    <brk id="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P886"/>
  <sheetViews>
    <sheetView topLeftCell="I1" zoomScale="140" zoomScaleNormal="140" workbookViewId="0">
      <pane ySplit="2" topLeftCell="A3" activePane="bottomLeft" state="frozen"/>
      <selection pane="bottomLeft" activeCell="J564" sqref="J564"/>
    </sheetView>
  </sheetViews>
  <sheetFormatPr defaultRowHeight="14.5" x14ac:dyDescent="0.35"/>
  <cols>
    <col min="1" max="1" width="8.453125" bestFit="1" customWidth="1"/>
    <col min="2" max="2" width="6.1796875" bestFit="1" customWidth="1"/>
    <col min="3" max="3" width="11.1796875" bestFit="1" customWidth="1"/>
    <col min="4" max="4" width="19.453125" bestFit="1" customWidth="1"/>
    <col min="5" max="5" width="10.81640625" bestFit="1" customWidth="1"/>
    <col min="6" max="6" width="24.453125" bestFit="1" customWidth="1"/>
    <col min="7" max="7" width="35.54296875" bestFit="1" customWidth="1"/>
    <col min="8" max="8" width="15.81640625" bestFit="1" customWidth="1"/>
    <col min="9" max="9" width="11.81640625" bestFit="1" customWidth="1"/>
    <col min="10" max="10" width="84.453125" customWidth="1"/>
    <col min="11" max="11" width="24.1796875" customWidth="1"/>
    <col min="12" max="12" width="9.1796875" bestFit="1" customWidth="1"/>
  </cols>
  <sheetData>
    <row r="2" spans="1:12" x14ac:dyDescent="0.35">
      <c r="A2" s="209" t="s">
        <v>155</v>
      </c>
      <c r="B2" s="209" t="s">
        <v>156</v>
      </c>
      <c r="C2" t="s">
        <v>157</v>
      </c>
      <c r="D2" t="s">
        <v>158</v>
      </c>
      <c r="E2" t="s">
        <v>160</v>
      </c>
      <c r="F2" s="173" t="s">
        <v>161</v>
      </c>
      <c r="G2" s="173" t="s">
        <v>162</v>
      </c>
      <c r="H2" s="173" t="s">
        <v>3</v>
      </c>
      <c r="I2" s="173" t="s">
        <v>6</v>
      </c>
      <c r="J2" s="175" t="s">
        <v>670</v>
      </c>
      <c r="K2" s="174" t="s">
        <v>159</v>
      </c>
      <c r="L2" t="s">
        <v>154</v>
      </c>
    </row>
    <row r="3" spans="1:12" x14ac:dyDescent="0.35">
      <c r="A3" s="209" t="s">
        <v>164</v>
      </c>
      <c r="B3" s="209" t="s">
        <v>165</v>
      </c>
      <c r="C3" t="s">
        <v>166</v>
      </c>
      <c r="D3" t="s">
        <v>167</v>
      </c>
      <c r="E3">
        <v>4482</v>
      </c>
      <c r="F3" s="173" t="s">
        <v>132</v>
      </c>
      <c r="G3" s="173" t="s">
        <v>72</v>
      </c>
      <c r="H3" s="173" t="s">
        <v>70</v>
      </c>
      <c r="I3" s="173" t="s">
        <v>14</v>
      </c>
      <c r="J3" s="175" t="str">
        <f>CONCATENATE(I3,G3,H3,F3)</f>
        <v>DoorNarrow Traditional 4482Shaker 4482Shaker Cherry       7935-07</v>
      </c>
      <c r="K3" s="174" t="s">
        <v>168</v>
      </c>
      <c r="L3" t="s">
        <v>163</v>
      </c>
    </row>
    <row r="4" spans="1:12" x14ac:dyDescent="0.35">
      <c r="A4" s="209" t="s">
        <v>170</v>
      </c>
      <c r="B4" s="209" t="s">
        <v>165</v>
      </c>
      <c r="C4" t="s">
        <v>166</v>
      </c>
      <c r="D4" t="s">
        <v>171</v>
      </c>
      <c r="E4">
        <v>4482</v>
      </c>
      <c r="F4" s="173" t="s">
        <v>133</v>
      </c>
      <c r="G4" s="173" t="s">
        <v>72</v>
      </c>
      <c r="H4" s="173" t="s">
        <v>70</v>
      </c>
      <c r="I4" s="173" t="s">
        <v>14</v>
      </c>
      <c r="J4" s="175" t="str">
        <f t="shared" ref="J4:J120" si="0">CONCATENATE(I4,G4,H4,F4)</f>
        <v>DoorNarrow Traditional 4482Shaker 4482Cafelle 7933-07</v>
      </c>
      <c r="K4" s="174" t="s">
        <v>172</v>
      </c>
      <c r="L4" t="s">
        <v>169</v>
      </c>
    </row>
    <row r="5" spans="1:12" x14ac:dyDescent="0.35">
      <c r="A5" s="209" t="s">
        <v>174</v>
      </c>
      <c r="B5" s="209" t="s">
        <v>175</v>
      </c>
      <c r="C5" t="s">
        <v>166</v>
      </c>
      <c r="D5" t="s">
        <v>176</v>
      </c>
      <c r="E5">
        <v>4482</v>
      </c>
      <c r="F5" s="173" t="s">
        <v>123</v>
      </c>
      <c r="G5" s="173" t="s">
        <v>72</v>
      </c>
      <c r="H5" s="173" t="s">
        <v>70</v>
      </c>
      <c r="I5" s="173" t="s">
        <v>14</v>
      </c>
      <c r="J5" s="175" t="str">
        <f t="shared" si="0"/>
        <v>DoorNarrow Traditional 4482Shaker 4482White Driftwood      8200-16</v>
      </c>
      <c r="K5" s="174" t="s">
        <v>177</v>
      </c>
      <c r="L5" t="s">
        <v>173</v>
      </c>
    </row>
    <row r="6" spans="1:12" x14ac:dyDescent="0.35">
      <c r="A6" s="209" t="s">
        <v>179</v>
      </c>
      <c r="B6" s="209" t="s">
        <v>175</v>
      </c>
      <c r="C6" t="s">
        <v>166</v>
      </c>
      <c r="D6" t="s">
        <v>180</v>
      </c>
      <c r="E6">
        <v>4482</v>
      </c>
      <c r="F6" s="173" t="s">
        <v>124</v>
      </c>
      <c r="G6" s="173" t="s">
        <v>72</v>
      </c>
      <c r="H6" s="173" t="s">
        <v>70</v>
      </c>
      <c r="I6" s="173" t="s">
        <v>14</v>
      </c>
      <c r="J6" s="175" t="str">
        <f t="shared" si="0"/>
        <v>DoorNarrow Traditional 4482Shaker 4482Weathered Char     8204-16</v>
      </c>
      <c r="K6" s="174" t="s">
        <v>181</v>
      </c>
      <c r="L6" t="s">
        <v>178</v>
      </c>
    </row>
    <row r="7" spans="1:12" x14ac:dyDescent="0.35">
      <c r="A7" s="209" t="s">
        <v>183</v>
      </c>
      <c r="B7" s="209" t="s">
        <v>184</v>
      </c>
      <c r="C7" t="s">
        <v>166</v>
      </c>
      <c r="D7" t="s">
        <v>185</v>
      </c>
      <c r="E7">
        <v>4482</v>
      </c>
      <c r="F7" s="173" t="s">
        <v>134</v>
      </c>
      <c r="G7" s="173" t="s">
        <v>72</v>
      </c>
      <c r="H7" s="173" t="s">
        <v>70</v>
      </c>
      <c r="I7" s="173" t="s">
        <v>14</v>
      </c>
      <c r="J7" s="175" t="str">
        <f t="shared" si="0"/>
        <v>DoorNarrow Traditional 4482Shaker 4482Neowalnut 7991-38</v>
      </c>
      <c r="K7" s="174" t="s">
        <v>186</v>
      </c>
      <c r="L7" t="s">
        <v>182</v>
      </c>
    </row>
    <row r="8" spans="1:12" x14ac:dyDescent="0.35">
      <c r="A8" s="209" t="s">
        <v>188</v>
      </c>
      <c r="B8" s="209" t="s">
        <v>184</v>
      </c>
      <c r="C8" t="s">
        <v>166</v>
      </c>
      <c r="D8" t="s">
        <v>189</v>
      </c>
      <c r="E8">
        <v>4482</v>
      </c>
      <c r="F8" s="173" t="s">
        <v>135</v>
      </c>
      <c r="G8" s="173" t="s">
        <v>72</v>
      </c>
      <c r="H8" s="173" t="s">
        <v>70</v>
      </c>
      <c r="I8" s="173" t="s">
        <v>14</v>
      </c>
      <c r="J8" s="175" t="str">
        <f t="shared" si="0"/>
        <v>DoorNarrow Traditional 4482Shaker 4482Ebony Recon        7997-38</v>
      </c>
      <c r="K8" s="174" t="s">
        <v>190</v>
      </c>
      <c r="L8" t="s">
        <v>187</v>
      </c>
    </row>
    <row r="9" spans="1:12" x14ac:dyDescent="0.35">
      <c r="A9" s="209" t="s">
        <v>192</v>
      </c>
      <c r="B9" s="209" t="s">
        <v>193</v>
      </c>
      <c r="C9" t="s">
        <v>166</v>
      </c>
      <c r="D9" t="s">
        <v>194</v>
      </c>
      <c r="E9">
        <v>4482</v>
      </c>
      <c r="F9" s="173" t="s">
        <v>36</v>
      </c>
      <c r="G9" s="173" t="s">
        <v>72</v>
      </c>
      <c r="H9" s="173" t="s">
        <v>70</v>
      </c>
      <c r="I9" s="173" t="s">
        <v>14</v>
      </c>
      <c r="J9" s="175" t="str">
        <f t="shared" si="0"/>
        <v>DoorNarrow Traditional 4482Shaker 4482Phantom Charcoal  8214-28</v>
      </c>
      <c r="K9" s="174" t="s">
        <v>195</v>
      </c>
      <c r="L9" t="s">
        <v>191</v>
      </c>
    </row>
    <row r="10" spans="1:12" x14ac:dyDescent="0.35">
      <c r="A10" s="209" t="s">
        <v>197</v>
      </c>
      <c r="B10" s="209" t="s">
        <v>198</v>
      </c>
      <c r="C10" t="s">
        <v>166</v>
      </c>
      <c r="D10" t="s">
        <v>199</v>
      </c>
      <c r="E10">
        <v>4482</v>
      </c>
      <c r="F10" s="173" t="s">
        <v>11</v>
      </c>
      <c r="G10" s="173" t="s">
        <v>72</v>
      </c>
      <c r="H10" s="173" t="s">
        <v>70</v>
      </c>
      <c r="I10" s="173" t="s">
        <v>14</v>
      </c>
      <c r="J10" s="175" t="str">
        <f t="shared" si="0"/>
        <v>DoorNarrow Traditional 4482Shaker 4482Linen  D427-60</v>
      </c>
      <c r="K10" s="174" t="s">
        <v>200</v>
      </c>
      <c r="L10" t="s">
        <v>196</v>
      </c>
    </row>
    <row r="11" spans="1:12" x14ac:dyDescent="0.35">
      <c r="A11" s="209" t="s">
        <v>202</v>
      </c>
      <c r="B11" s="209" t="s">
        <v>193</v>
      </c>
      <c r="C11" t="s">
        <v>166</v>
      </c>
      <c r="D11" t="s">
        <v>203</v>
      </c>
      <c r="E11">
        <v>4482</v>
      </c>
      <c r="F11" s="173" t="s">
        <v>136</v>
      </c>
      <c r="G11" s="173" t="s">
        <v>72</v>
      </c>
      <c r="H11" s="173" t="s">
        <v>70</v>
      </c>
      <c r="I11" s="173" t="s">
        <v>14</v>
      </c>
      <c r="J11" s="175" t="str">
        <f t="shared" si="0"/>
        <v>DoorNarrow Traditional 4482Shaker 4482Phantom Pearl      8211-28</v>
      </c>
      <c r="K11" s="174" t="s">
        <v>204</v>
      </c>
      <c r="L11" t="s">
        <v>201</v>
      </c>
    </row>
    <row r="12" spans="1:12" x14ac:dyDescent="0.35">
      <c r="A12" s="209" t="s">
        <v>206</v>
      </c>
      <c r="B12" s="209" t="s">
        <v>193</v>
      </c>
      <c r="C12" t="s">
        <v>166</v>
      </c>
      <c r="D12" t="s">
        <v>207</v>
      </c>
      <c r="E12">
        <v>4482</v>
      </c>
      <c r="F12" s="173" t="s">
        <v>125</v>
      </c>
      <c r="G12" s="173" t="s">
        <v>72</v>
      </c>
      <c r="H12" s="173" t="s">
        <v>70</v>
      </c>
      <c r="I12" s="173" t="s">
        <v>14</v>
      </c>
      <c r="J12" s="175" t="str">
        <f t="shared" si="0"/>
        <v>DoorNarrow Traditional 4482Shaker 4482Veranda Teak        8209-28</v>
      </c>
      <c r="K12" s="174" t="s">
        <v>208</v>
      </c>
      <c r="L12" t="s">
        <v>205</v>
      </c>
    </row>
    <row r="13" spans="1:12" x14ac:dyDescent="0.35">
      <c r="A13" s="209" t="s">
        <v>210</v>
      </c>
      <c r="B13" s="209" t="s">
        <v>175</v>
      </c>
      <c r="C13" t="s">
        <v>166</v>
      </c>
      <c r="D13" t="s">
        <v>211</v>
      </c>
      <c r="E13">
        <v>4482</v>
      </c>
      <c r="F13" s="173" t="s">
        <v>126</v>
      </c>
      <c r="G13" s="173" t="s">
        <v>72</v>
      </c>
      <c r="H13" s="173" t="s">
        <v>70</v>
      </c>
      <c r="I13" s="173" t="s">
        <v>14</v>
      </c>
      <c r="J13" s="175" t="str">
        <f t="shared" si="0"/>
        <v>DoorNarrow Traditional 4482Shaker 4482Branded Oak         8207-16</v>
      </c>
      <c r="K13" s="174" t="s">
        <v>212</v>
      </c>
      <c r="L13" t="s">
        <v>209</v>
      </c>
    </row>
    <row r="14" spans="1:12" x14ac:dyDescent="0.35">
      <c r="A14" s="209" t="s">
        <v>214</v>
      </c>
      <c r="B14" s="209" t="s">
        <v>175</v>
      </c>
      <c r="C14" t="s">
        <v>166</v>
      </c>
      <c r="D14" t="s">
        <v>215</v>
      </c>
      <c r="E14">
        <v>4482</v>
      </c>
      <c r="F14" s="173" t="s">
        <v>127</v>
      </c>
      <c r="G14" s="173" t="s">
        <v>72</v>
      </c>
      <c r="H14" s="173" t="s">
        <v>70</v>
      </c>
      <c r="I14" s="173" t="s">
        <v>14</v>
      </c>
      <c r="J14" s="175" t="str">
        <f t="shared" si="0"/>
        <v>DoorNarrow Traditional 4482Shaker 4482Saddle Oak           8206-16</v>
      </c>
      <c r="K14" s="174" t="s">
        <v>216</v>
      </c>
      <c r="L14" t="s">
        <v>213</v>
      </c>
    </row>
    <row r="15" spans="1:12" x14ac:dyDescent="0.35">
      <c r="A15" s="209" t="s">
        <v>218</v>
      </c>
      <c r="B15" s="209" t="s">
        <v>193</v>
      </c>
      <c r="C15" t="s">
        <v>166</v>
      </c>
      <c r="D15" t="s">
        <v>219</v>
      </c>
      <c r="E15">
        <v>4482</v>
      </c>
      <c r="F15" s="173" t="s">
        <v>129</v>
      </c>
      <c r="G15" s="173" t="s">
        <v>72</v>
      </c>
      <c r="H15" s="173" t="s">
        <v>70</v>
      </c>
      <c r="I15" s="173" t="s">
        <v>14</v>
      </c>
      <c r="J15" s="175" t="str">
        <f t="shared" si="0"/>
        <v>DoorNarrow Traditional 4482Shaker 4482Phantom Ecru       8212-28</v>
      </c>
      <c r="K15" s="174" t="s">
        <v>220</v>
      </c>
      <c r="L15" t="s">
        <v>217</v>
      </c>
    </row>
    <row r="16" spans="1:12" x14ac:dyDescent="0.35">
      <c r="A16" s="209" t="s">
        <v>222</v>
      </c>
      <c r="B16" s="209" t="s">
        <v>175</v>
      </c>
      <c r="C16" t="s">
        <v>166</v>
      </c>
      <c r="D16" t="s">
        <v>223</v>
      </c>
      <c r="E16">
        <v>4482</v>
      </c>
      <c r="F16" s="173" t="s">
        <v>128</v>
      </c>
      <c r="G16" s="173" t="s">
        <v>72</v>
      </c>
      <c r="H16" s="173" t="s">
        <v>70</v>
      </c>
      <c r="I16" s="173" t="s">
        <v>14</v>
      </c>
      <c r="J16" s="175" t="str">
        <f t="shared" si="0"/>
        <v>DoorNarrow Traditional 4482Shaker 4482Fawn Cypress       8208-16</v>
      </c>
      <c r="K16" s="174" t="s">
        <v>224</v>
      </c>
      <c r="L16" t="s">
        <v>221</v>
      </c>
    </row>
    <row r="17" spans="1:12" x14ac:dyDescent="0.35">
      <c r="A17" s="209" t="s">
        <v>226</v>
      </c>
      <c r="B17" s="209" t="s">
        <v>184</v>
      </c>
      <c r="C17" t="s">
        <v>166</v>
      </c>
      <c r="D17" t="s">
        <v>227</v>
      </c>
      <c r="E17">
        <v>4482</v>
      </c>
      <c r="F17" s="173" t="s">
        <v>130</v>
      </c>
      <c r="G17" s="173" t="s">
        <v>72</v>
      </c>
      <c r="H17" s="173" t="s">
        <v>70</v>
      </c>
      <c r="I17" s="173" t="s">
        <v>14</v>
      </c>
      <c r="J17" s="175" t="str">
        <f t="shared" si="0"/>
        <v>DoorNarrow Traditional 4482Shaker 4482River Cherry          7937-38</v>
      </c>
      <c r="K17" s="174" t="s">
        <v>228</v>
      </c>
      <c r="L17" t="s">
        <v>225</v>
      </c>
    </row>
    <row r="18" spans="1:12" x14ac:dyDescent="0.35">
      <c r="A18" s="209" t="s">
        <v>1183</v>
      </c>
      <c r="B18" s="209" t="s">
        <v>1184</v>
      </c>
      <c r="C18" t="s">
        <v>166</v>
      </c>
      <c r="D18" s="210" t="s">
        <v>1185</v>
      </c>
      <c r="E18">
        <v>4482</v>
      </c>
      <c r="F18" t="s">
        <v>1201</v>
      </c>
      <c r="G18" s="173" t="s">
        <v>72</v>
      </c>
      <c r="H18" s="173" t="s">
        <v>70</v>
      </c>
      <c r="I18" s="173" t="s">
        <v>14</v>
      </c>
      <c r="J18" s="175" t="str">
        <f t="shared" si="0"/>
        <v>DoorNarrow Traditional 4482Shaker 4482Akira                     8233-05</v>
      </c>
      <c r="K18" s="174" t="s">
        <v>1205</v>
      </c>
    </row>
    <row r="19" spans="1:12" x14ac:dyDescent="0.35">
      <c r="A19" s="209" t="s">
        <v>1186</v>
      </c>
      <c r="B19" s="209" t="s">
        <v>1184</v>
      </c>
      <c r="C19" t="s">
        <v>166</v>
      </c>
      <c r="D19" s="210" t="s">
        <v>1187</v>
      </c>
      <c r="E19">
        <v>4482</v>
      </c>
      <c r="F19" t="s">
        <v>1200</v>
      </c>
      <c r="G19" s="173" t="s">
        <v>72</v>
      </c>
      <c r="H19" s="173" t="s">
        <v>70</v>
      </c>
      <c r="I19" s="173" t="s">
        <v>14</v>
      </c>
      <c r="J19" s="175" t="str">
        <f t="shared" si="0"/>
        <v>DoorNarrow Traditional 4482Shaker 4482Belair                    8234-05</v>
      </c>
      <c r="K19" s="174" t="s">
        <v>1206</v>
      </c>
    </row>
    <row r="20" spans="1:12" x14ac:dyDescent="0.35">
      <c r="A20" s="209" t="s">
        <v>1188</v>
      </c>
      <c r="B20" s="209" t="s">
        <v>1184</v>
      </c>
      <c r="C20" t="s">
        <v>166</v>
      </c>
      <c r="D20" s="210" t="s">
        <v>1189</v>
      </c>
      <c r="E20">
        <v>4482</v>
      </c>
      <c r="F20" t="s">
        <v>1198</v>
      </c>
      <c r="G20" s="173" t="s">
        <v>72</v>
      </c>
      <c r="H20" s="173" t="s">
        <v>70</v>
      </c>
      <c r="I20" s="173" t="s">
        <v>14</v>
      </c>
      <c r="J20" s="175" t="str">
        <f t="shared" si="0"/>
        <v>DoorNarrow Traditional 4482Shaker 4482Daintree               8235-05</v>
      </c>
      <c r="K20" s="174" t="s">
        <v>1207</v>
      </c>
    </row>
    <row r="21" spans="1:12" x14ac:dyDescent="0.35">
      <c r="A21" s="209" t="s">
        <v>1190</v>
      </c>
      <c r="B21" s="209" t="s">
        <v>1184</v>
      </c>
      <c r="C21" t="s">
        <v>166</v>
      </c>
      <c r="D21" s="210" t="s">
        <v>1191</v>
      </c>
      <c r="E21">
        <v>4482</v>
      </c>
      <c r="F21" t="s">
        <v>1199</v>
      </c>
      <c r="G21" s="173" t="s">
        <v>72</v>
      </c>
      <c r="H21" s="173" t="s">
        <v>70</v>
      </c>
      <c r="I21" s="173" t="s">
        <v>14</v>
      </c>
      <c r="J21" s="175" t="str">
        <f t="shared" si="0"/>
        <v>DoorNarrow Traditional 4482Shaker 4482Monteverdi          8236-05</v>
      </c>
      <c r="K21" s="174" t="s">
        <v>1208</v>
      </c>
    </row>
    <row r="22" spans="1:12" x14ac:dyDescent="0.35">
      <c r="A22" s="209" t="s">
        <v>1192</v>
      </c>
      <c r="B22" s="209" t="s">
        <v>1184</v>
      </c>
      <c r="C22" t="s">
        <v>166</v>
      </c>
      <c r="D22" s="210" t="s">
        <v>1193</v>
      </c>
      <c r="E22">
        <v>4482</v>
      </c>
      <c r="F22" t="s">
        <v>1202</v>
      </c>
      <c r="G22" s="173" t="s">
        <v>72</v>
      </c>
      <c r="H22" s="173" t="s">
        <v>70</v>
      </c>
      <c r="I22" s="173" t="s">
        <v>14</v>
      </c>
      <c r="J22" s="175" t="str">
        <f t="shared" si="0"/>
        <v>DoorNarrow Traditional 4482Shaker 4482Great Bear           8237-05</v>
      </c>
      <c r="K22" s="174" t="s">
        <v>1209</v>
      </c>
    </row>
    <row r="23" spans="1:12" x14ac:dyDescent="0.35">
      <c r="A23" s="209" t="s">
        <v>1194</v>
      </c>
      <c r="B23" s="209" t="s">
        <v>1184</v>
      </c>
      <c r="C23" t="s">
        <v>166</v>
      </c>
      <c r="D23" s="210" t="s">
        <v>1195</v>
      </c>
      <c r="E23">
        <v>4482</v>
      </c>
      <c r="F23" t="s">
        <v>1203</v>
      </c>
      <c r="G23" s="173" t="s">
        <v>72</v>
      </c>
      <c r="H23" s="173" t="s">
        <v>70</v>
      </c>
      <c r="I23" s="173" t="s">
        <v>14</v>
      </c>
      <c r="J23" s="175" t="str">
        <f t="shared" si="0"/>
        <v>DoorNarrow Traditional 4482Shaker 4482Fairchild               8238-05</v>
      </c>
      <c r="K23" s="174" t="s">
        <v>1210</v>
      </c>
    </row>
    <row r="24" spans="1:12" x14ac:dyDescent="0.35">
      <c r="A24" s="209" t="s">
        <v>1196</v>
      </c>
      <c r="B24" s="209" t="s">
        <v>198</v>
      </c>
      <c r="C24" t="s">
        <v>166</v>
      </c>
      <c r="D24" s="210" t="s">
        <v>1197</v>
      </c>
      <c r="E24">
        <v>4482</v>
      </c>
      <c r="F24" t="s">
        <v>1204</v>
      </c>
      <c r="G24" s="173" t="s">
        <v>72</v>
      </c>
      <c r="H24" s="173" t="s">
        <v>70</v>
      </c>
      <c r="I24" s="173" t="s">
        <v>14</v>
      </c>
      <c r="J24" s="175" t="str">
        <f t="shared" si="0"/>
        <v>DoorNarrow Traditional 4482Shaker 4482Indigo                   D379-60</v>
      </c>
      <c r="K24" s="174" t="s">
        <v>1211</v>
      </c>
    </row>
    <row r="25" spans="1:12" x14ac:dyDescent="0.35">
      <c r="A25" s="209" t="s">
        <v>1106</v>
      </c>
      <c r="B25" s="209" t="s">
        <v>1115</v>
      </c>
      <c r="C25" t="s">
        <v>166</v>
      </c>
      <c r="D25" t="s">
        <v>880</v>
      </c>
      <c r="E25">
        <v>4482</v>
      </c>
      <c r="F25" t="s">
        <v>891</v>
      </c>
      <c r="G25" s="173" t="s">
        <v>72</v>
      </c>
      <c r="H25" s="173" t="s">
        <v>70</v>
      </c>
      <c r="I25" s="173" t="s">
        <v>14</v>
      </c>
      <c r="J25" s="175" t="str">
        <f t="shared" ref="J25:J35" si="1">CONCATENATE(I25,G25,H25,F25)</f>
        <v>DoorNarrow Traditional 4482Shaker 4482White Cypress    7976-79</v>
      </c>
      <c r="K25" s="174" t="s">
        <v>902</v>
      </c>
    </row>
    <row r="26" spans="1:12" x14ac:dyDescent="0.35">
      <c r="A26" s="209" t="s">
        <v>1107</v>
      </c>
      <c r="B26" s="209" t="s">
        <v>1115</v>
      </c>
      <c r="C26" t="s">
        <v>166</v>
      </c>
      <c r="D26" t="s">
        <v>881</v>
      </c>
      <c r="E26">
        <v>4482</v>
      </c>
      <c r="F26" t="s">
        <v>892</v>
      </c>
      <c r="G26" s="173" t="s">
        <v>72</v>
      </c>
      <c r="H26" s="173" t="s">
        <v>70</v>
      </c>
      <c r="I26" s="173" t="s">
        <v>14</v>
      </c>
      <c r="J26" s="175" t="str">
        <f t="shared" si="1"/>
        <v>DoorNarrow Traditional 4482Shaker 4482Randolph Forest    8225-79</v>
      </c>
      <c r="K26" s="174" t="s">
        <v>903</v>
      </c>
    </row>
    <row r="27" spans="1:12" x14ac:dyDescent="0.35">
      <c r="A27" s="209" t="s">
        <v>1108</v>
      </c>
      <c r="B27" s="209" t="s">
        <v>1115</v>
      </c>
      <c r="C27" t="s">
        <v>166</v>
      </c>
      <c r="D27" t="s">
        <v>882</v>
      </c>
      <c r="E27">
        <v>4482</v>
      </c>
      <c r="F27" t="s">
        <v>893</v>
      </c>
      <c r="G27" s="173" t="s">
        <v>72</v>
      </c>
      <c r="H27" s="173" t="s">
        <v>70</v>
      </c>
      <c r="I27" s="173" t="s">
        <v>14</v>
      </c>
      <c r="J27" s="175" t="str">
        <f t="shared" si="1"/>
        <v>DoorNarrow Traditional 4482Shaker 4482Dering Forest    8226-79</v>
      </c>
      <c r="K27" s="174" t="s">
        <v>904</v>
      </c>
    </row>
    <row r="28" spans="1:12" x14ac:dyDescent="0.35">
      <c r="A28" s="209" t="s">
        <v>1109</v>
      </c>
      <c r="B28" s="209" t="s">
        <v>1115</v>
      </c>
      <c r="C28" t="s">
        <v>166</v>
      </c>
      <c r="D28" t="s">
        <v>883</v>
      </c>
      <c r="E28">
        <v>4482</v>
      </c>
      <c r="F28" t="s">
        <v>894</v>
      </c>
      <c r="G28" s="173" t="s">
        <v>72</v>
      </c>
      <c r="H28" s="173" t="s">
        <v>70</v>
      </c>
      <c r="I28" s="173" t="s">
        <v>14</v>
      </c>
      <c r="J28" s="175" t="str">
        <f t="shared" si="1"/>
        <v>DoorNarrow Traditional 4482Shaker 4482White River Forest    8227-79</v>
      </c>
      <c r="K28" s="174" t="s">
        <v>905</v>
      </c>
    </row>
    <row r="29" spans="1:12" x14ac:dyDescent="0.35">
      <c r="A29" s="209" t="s">
        <v>1110</v>
      </c>
      <c r="B29" s="209" t="s">
        <v>1115</v>
      </c>
      <c r="C29" t="s">
        <v>166</v>
      </c>
      <c r="D29" t="s">
        <v>884</v>
      </c>
      <c r="E29">
        <v>4482</v>
      </c>
      <c r="F29" t="s">
        <v>895</v>
      </c>
      <c r="G29" s="173" t="s">
        <v>72</v>
      </c>
      <c r="H29" s="173" t="s">
        <v>70</v>
      </c>
      <c r="I29" s="173" t="s">
        <v>14</v>
      </c>
      <c r="J29" s="175" t="str">
        <f t="shared" si="1"/>
        <v>DoorNarrow Traditional 4482Shaker 4482Avondale Ash    8228-79</v>
      </c>
      <c r="K29" s="174" t="s">
        <v>906</v>
      </c>
    </row>
    <row r="30" spans="1:12" x14ac:dyDescent="0.35">
      <c r="A30" s="209" t="s">
        <v>1111</v>
      </c>
      <c r="B30" s="209" t="s">
        <v>1115</v>
      </c>
      <c r="C30" t="s">
        <v>166</v>
      </c>
      <c r="D30" t="s">
        <v>885</v>
      </c>
      <c r="E30">
        <v>4482</v>
      </c>
      <c r="F30" t="s">
        <v>896</v>
      </c>
      <c r="G30" s="173" t="s">
        <v>72</v>
      </c>
      <c r="H30" s="173" t="s">
        <v>70</v>
      </c>
      <c r="I30" s="173" t="s">
        <v>14</v>
      </c>
      <c r="J30" s="175" t="str">
        <f t="shared" si="1"/>
        <v>DoorNarrow Traditional 4482Shaker 4482Friston Ash    8229-79</v>
      </c>
      <c r="K30" s="174" t="s">
        <v>907</v>
      </c>
    </row>
    <row r="31" spans="1:12" x14ac:dyDescent="0.35">
      <c r="A31" s="209" t="s">
        <v>1112</v>
      </c>
      <c r="B31" s="209" t="s">
        <v>1115</v>
      </c>
      <c r="C31" t="s">
        <v>166</v>
      </c>
      <c r="D31" t="s">
        <v>886</v>
      </c>
      <c r="E31">
        <v>4482</v>
      </c>
      <c r="F31" t="s">
        <v>897</v>
      </c>
      <c r="G31" s="173" t="s">
        <v>72</v>
      </c>
      <c r="H31" s="173" t="s">
        <v>70</v>
      </c>
      <c r="I31" s="173" t="s">
        <v>14</v>
      </c>
      <c r="J31" s="175" t="str">
        <f t="shared" si="1"/>
        <v>DoorNarrow Traditional 4482Shaker 4482Valley Forge Elm    8231-79</v>
      </c>
      <c r="K31" s="174" t="s">
        <v>908</v>
      </c>
    </row>
    <row r="32" spans="1:12" x14ac:dyDescent="0.35">
      <c r="A32" s="209" t="s">
        <v>1113</v>
      </c>
      <c r="B32" s="209" t="s">
        <v>193</v>
      </c>
      <c r="C32" t="s">
        <v>166</v>
      </c>
      <c r="D32" t="s">
        <v>887</v>
      </c>
      <c r="E32">
        <v>4482</v>
      </c>
      <c r="F32" t="s">
        <v>898</v>
      </c>
      <c r="G32" s="173" t="s">
        <v>72</v>
      </c>
      <c r="H32" s="173" t="s">
        <v>70</v>
      </c>
      <c r="I32" s="173" t="s">
        <v>14</v>
      </c>
      <c r="J32" s="175" t="str">
        <f t="shared" si="1"/>
        <v>DoorNarrow Traditional 4482Shaker 4482High Line    7970-28</v>
      </c>
      <c r="K32" s="174" t="s">
        <v>909</v>
      </c>
    </row>
    <row r="33" spans="1:12" x14ac:dyDescent="0.35">
      <c r="A33" s="209" t="s">
        <v>183</v>
      </c>
      <c r="B33" s="209" t="s">
        <v>193</v>
      </c>
      <c r="C33" t="s">
        <v>166</v>
      </c>
      <c r="D33" t="s">
        <v>888</v>
      </c>
      <c r="E33">
        <v>4482</v>
      </c>
      <c r="F33" t="s">
        <v>899</v>
      </c>
      <c r="G33" s="173" t="s">
        <v>72</v>
      </c>
      <c r="H33" s="173" t="s">
        <v>70</v>
      </c>
      <c r="I33" s="173" t="s">
        <v>14</v>
      </c>
      <c r="J33" s="175" t="str">
        <f t="shared" si="1"/>
        <v>DoorNarrow Traditional 4482Shaker 4482Neowalnut    7991-28</v>
      </c>
      <c r="K33" s="174" t="s">
        <v>910</v>
      </c>
    </row>
    <row r="34" spans="1:12" x14ac:dyDescent="0.35">
      <c r="A34" s="209" t="s">
        <v>1114</v>
      </c>
      <c r="B34" s="209" t="s">
        <v>193</v>
      </c>
      <c r="C34" t="s">
        <v>166</v>
      </c>
      <c r="D34" t="s">
        <v>889</v>
      </c>
      <c r="E34">
        <v>4482</v>
      </c>
      <c r="F34" t="s">
        <v>900</v>
      </c>
      <c r="G34" s="173" t="s">
        <v>72</v>
      </c>
      <c r="H34" s="173" t="s">
        <v>70</v>
      </c>
      <c r="I34" s="173" t="s">
        <v>14</v>
      </c>
      <c r="J34" s="175" t="str">
        <f t="shared" si="1"/>
        <v>DoorNarrow Traditional 4482Shaker 4482Portico Teak    8210-28</v>
      </c>
      <c r="K34" s="174" t="s">
        <v>911</v>
      </c>
    </row>
    <row r="35" spans="1:12" x14ac:dyDescent="0.35">
      <c r="A35" s="209" t="s">
        <v>879</v>
      </c>
      <c r="B35" s="209" t="s">
        <v>198</v>
      </c>
      <c r="C35" t="s">
        <v>166</v>
      </c>
      <c r="D35" t="s">
        <v>890</v>
      </c>
      <c r="E35">
        <v>4482</v>
      </c>
      <c r="F35" t="s">
        <v>901</v>
      </c>
      <c r="G35" s="173" t="s">
        <v>72</v>
      </c>
      <c r="H35" s="173" t="s">
        <v>70</v>
      </c>
      <c r="I35" s="173" t="s">
        <v>14</v>
      </c>
      <c r="J35" s="175" t="str">
        <f t="shared" si="1"/>
        <v>DoorNarrow Traditional 4482Shaker 4482Pepperdust    D327-60</v>
      </c>
      <c r="K35" s="174" t="s">
        <v>912</v>
      </c>
    </row>
    <row r="36" spans="1:12" x14ac:dyDescent="0.35">
      <c r="A36" s="209" t="s">
        <v>230</v>
      </c>
      <c r="B36" s="209" t="s">
        <v>165</v>
      </c>
      <c r="C36" t="s">
        <v>166</v>
      </c>
      <c r="D36" t="s">
        <v>231</v>
      </c>
      <c r="E36">
        <v>4482</v>
      </c>
      <c r="F36" s="173" t="s">
        <v>12</v>
      </c>
      <c r="G36" s="173" t="s">
        <v>72</v>
      </c>
      <c r="H36" s="173" t="s">
        <v>70</v>
      </c>
      <c r="I36" s="173" t="s">
        <v>14</v>
      </c>
      <c r="J36" s="175" t="str">
        <f t="shared" si="0"/>
        <v>DoorNarrow Traditional 4482Shaker 4482Columbian Walnut  7943-07</v>
      </c>
      <c r="K36" s="174" t="s">
        <v>232</v>
      </c>
      <c r="L36" t="s">
        <v>229</v>
      </c>
    </row>
    <row r="37" spans="1:12" x14ac:dyDescent="0.35">
      <c r="A37" s="209" t="s">
        <v>234</v>
      </c>
      <c r="B37" s="209" t="s">
        <v>184</v>
      </c>
      <c r="C37" t="s">
        <v>166</v>
      </c>
      <c r="D37" t="s">
        <v>235</v>
      </c>
      <c r="E37">
        <v>4482</v>
      </c>
      <c r="F37" s="173" t="s">
        <v>131</v>
      </c>
      <c r="G37" s="173" t="s">
        <v>72</v>
      </c>
      <c r="H37" s="173" t="s">
        <v>70</v>
      </c>
      <c r="I37" s="173" t="s">
        <v>14</v>
      </c>
      <c r="J37" s="175" t="str">
        <f t="shared" si="0"/>
        <v>DoorNarrow Traditional 4482Shaker 4482Florence Walnut    7993-38</v>
      </c>
      <c r="K37" s="174" t="s">
        <v>236</v>
      </c>
      <c r="L37" t="s">
        <v>233</v>
      </c>
    </row>
    <row r="38" spans="1:12" x14ac:dyDescent="0.35">
      <c r="A38" s="209" t="s">
        <v>164</v>
      </c>
      <c r="B38" s="209" t="s">
        <v>165</v>
      </c>
      <c r="C38" t="s">
        <v>166</v>
      </c>
      <c r="D38" t="s">
        <v>167</v>
      </c>
      <c r="E38">
        <v>4482</v>
      </c>
      <c r="F38" s="173" t="s">
        <v>132</v>
      </c>
      <c r="G38" s="173" t="s">
        <v>72</v>
      </c>
      <c r="H38" s="173" t="s">
        <v>70</v>
      </c>
      <c r="I38" s="173" t="s">
        <v>26</v>
      </c>
      <c r="J38" s="175" t="str">
        <f t="shared" si="0"/>
        <v>Drawer FrontNarrow Traditional 4482Shaker 4482Shaker Cherry       7935-07</v>
      </c>
      <c r="K38" s="174" t="s">
        <v>238</v>
      </c>
      <c r="L38" t="s">
        <v>237</v>
      </c>
    </row>
    <row r="39" spans="1:12" x14ac:dyDescent="0.35">
      <c r="A39" s="209" t="s">
        <v>170</v>
      </c>
      <c r="B39" s="209" t="s">
        <v>165</v>
      </c>
      <c r="C39" t="s">
        <v>166</v>
      </c>
      <c r="D39" t="s">
        <v>171</v>
      </c>
      <c r="E39">
        <v>4482</v>
      </c>
      <c r="F39" s="173" t="s">
        <v>133</v>
      </c>
      <c r="G39" s="173" t="s">
        <v>72</v>
      </c>
      <c r="H39" s="173" t="s">
        <v>70</v>
      </c>
      <c r="I39" s="173" t="s">
        <v>26</v>
      </c>
      <c r="J39" s="175" t="str">
        <f t="shared" si="0"/>
        <v>Drawer FrontNarrow Traditional 4482Shaker 4482Cafelle 7933-07</v>
      </c>
      <c r="K39" s="174" t="s">
        <v>240</v>
      </c>
      <c r="L39" t="s">
        <v>239</v>
      </c>
    </row>
    <row r="40" spans="1:12" x14ac:dyDescent="0.35">
      <c r="A40" s="209" t="s">
        <v>174</v>
      </c>
      <c r="B40" s="209" t="s">
        <v>175</v>
      </c>
      <c r="C40" t="s">
        <v>166</v>
      </c>
      <c r="D40" t="s">
        <v>176</v>
      </c>
      <c r="E40">
        <v>4482</v>
      </c>
      <c r="F40" s="173" t="s">
        <v>123</v>
      </c>
      <c r="G40" s="173" t="s">
        <v>72</v>
      </c>
      <c r="H40" s="173" t="s">
        <v>70</v>
      </c>
      <c r="I40" s="173" t="s">
        <v>26</v>
      </c>
      <c r="J40" s="175" t="str">
        <f t="shared" si="0"/>
        <v>Drawer FrontNarrow Traditional 4482Shaker 4482White Driftwood      8200-16</v>
      </c>
      <c r="K40" s="174" t="s">
        <v>242</v>
      </c>
      <c r="L40" t="s">
        <v>241</v>
      </c>
    </row>
    <row r="41" spans="1:12" x14ac:dyDescent="0.35">
      <c r="A41" s="209" t="s">
        <v>179</v>
      </c>
      <c r="B41" s="209" t="s">
        <v>175</v>
      </c>
      <c r="C41" t="s">
        <v>166</v>
      </c>
      <c r="D41" t="s">
        <v>180</v>
      </c>
      <c r="E41">
        <v>4482</v>
      </c>
      <c r="F41" s="173" t="s">
        <v>124</v>
      </c>
      <c r="G41" s="173" t="s">
        <v>72</v>
      </c>
      <c r="H41" s="173" t="s">
        <v>70</v>
      </c>
      <c r="I41" s="173" t="s">
        <v>26</v>
      </c>
      <c r="J41" s="175" t="str">
        <f t="shared" si="0"/>
        <v>Drawer FrontNarrow Traditional 4482Shaker 4482Weathered Char     8204-16</v>
      </c>
      <c r="K41" s="174" t="s">
        <v>244</v>
      </c>
      <c r="L41" t="s">
        <v>243</v>
      </c>
    </row>
    <row r="42" spans="1:12" x14ac:dyDescent="0.35">
      <c r="A42" s="209" t="s">
        <v>183</v>
      </c>
      <c r="B42" s="209" t="s">
        <v>184</v>
      </c>
      <c r="C42" t="s">
        <v>166</v>
      </c>
      <c r="D42" t="s">
        <v>185</v>
      </c>
      <c r="E42">
        <v>4482</v>
      </c>
      <c r="F42" s="173" t="s">
        <v>134</v>
      </c>
      <c r="G42" s="173" t="s">
        <v>72</v>
      </c>
      <c r="H42" s="173" t="s">
        <v>70</v>
      </c>
      <c r="I42" s="173" t="s">
        <v>26</v>
      </c>
      <c r="J42" s="175" t="str">
        <f t="shared" si="0"/>
        <v>Drawer FrontNarrow Traditional 4482Shaker 4482Neowalnut 7991-38</v>
      </c>
      <c r="K42" s="174" t="s">
        <v>246</v>
      </c>
      <c r="L42" t="s">
        <v>245</v>
      </c>
    </row>
    <row r="43" spans="1:12" x14ac:dyDescent="0.35">
      <c r="A43" s="209" t="s">
        <v>188</v>
      </c>
      <c r="B43" s="209" t="s">
        <v>184</v>
      </c>
      <c r="C43" t="s">
        <v>166</v>
      </c>
      <c r="D43" t="s">
        <v>189</v>
      </c>
      <c r="E43">
        <v>4482</v>
      </c>
      <c r="F43" s="173" t="s">
        <v>135</v>
      </c>
      <c r="G43" s="173" t="s">
        <v>72</v>
      </c>
      <c r="H43" s="173" t="s">
        <v>70</v>
      </c>
      <c r="I43" s="173" t="s">
        <v>26</v>
      </c>
      <c r="J43" s="175" t="str">
        <f t="shared" si="0"/>
        <v>Drawer FrontNarrow Traditional 4482Shaker 4482Ebony Recon        7997-38</v>
      </c>
      <c r="K43" s="174" t="s">
        <v>248</v>
      </c>
      <c r="L43" t="s">
        <v>247</v>
      </c>
    </row>
    <row r="44" spans="1:12" x14ac:dyDescent="0.35">
      <c r="A44" s="209" t="s">
        <v>192</v>
      </c>
      <c r="B44" s="209" t="s">
        <v>193</v>
      </c>
      <c r="C44" t="s">
        <v>166</v>
      </c>
      <c r="D44" t="s">
        <v>194</v>
      </c>
      <c r="E44">
        <v>4482</v>
      </c>
      <c r="F44" s="173" t="s">
        <v>36</v>
      </c>
      <c r="G44" s="173" t="s">
        <v>72</v>
      </c>
      <c r="H44" s="173" t="s">
        <v>70</v>
      </c>
      <c r="I44" s="173" t="s">
        <v>26</v>
      </c>
      <c r="J44" s="175" t="str">
        <f t="shared" si="0"/>
        <v>Drawer FrontNarrow Traditional 4482Shaker 4482Phantom Charcoal  8214-28</v>
      </c>
      <c r="K44" s="174" t="s">
        <v>250</v>
      </c>
      <c r="L44" t="s">
        <v>249</v>
      </c>
    </row>
    <row r="45" spans="1:12" x14ac:dyDescent="0.35">
      <c r="A45" s="209" t="s">
        <v>197</v>
      </c>
      <c r="B45" s="209" t="s">
        <v>198</v>
      </c>
      <c r="C45" t="s">
        <v>166</v>
      </c>
      <c r="D45" t="s">
        <v>199</v>
      </c>
      <c r="E45">
        <v>4482</v>
      </c>
      <c r="F45" s="173" t="s">
        <v>11</v>
      </c>
      <c r="G45" s="173" t="s">
        <v>72</v>
      </c>
      <c r="H45" s="173" t="s">
        <v>70</v>
      </c>
      <c r="I45" s="173" t="s">
        <v>26</v>
      </c>
      <c r="J45" s="175" t="str">
        <f t="shared" si="0"/>
        <v>Drawer FrontNarrow Traditional 4482Shaker 4482Linen  D427-60</v>
      </c>
      <c r="K45" s="174" t="s">
        <v>252</v>
      </c>
      <c r="L45" t="s">
        <v>251</v>
      </c>
    </row>
    <row r="46" spans="1:12" x14ac:dyDescent="0.35">
      <c r="A46" s="209" t="s">
        <v>202</v>
      </c>
      <c r="B46" s="209" t="s">
        <v>193</v>
      </c>
      <c r="C46" t="s">
        <v>166</v>
      </c>
      <c r="D46" t="s">
        <v>203</v>
      </c>
      <c r="E46">
        <v>4482</v>
      </c>
      <c r="F46" s="173" t="s">
        <v>136</v>
      </c>
      <c r="G46" s="173" t="s">
        <v>72</v>
      </c>
      <c r="H46" s="173" t="s">
        <v>70</v>
      </c>
      <c r="I46" s="173" t="s">
        <v>26</v>
      </c>
      <c r="J46" s="175" t="str">
        <f t="shared" si="0"/>
        <v>Drawer FrontNarrow Traditional 4482Shaker 4482Phantom Pearl      8211-28</v>
      </c>
      <c r="K46" s="174" t="s">
        <v>254</v>
      </c>
      <c r="L46" t="s">
        <v>253</v>
      </c>
    </row>
    <row r="47" spans="1:12" x14ac:dyDescent="0.35">
      <c r="A47" s="209" t="s">
        <v>206</v>
      </c>
      <c r="B47" s="209" t="s">
        <v>193</v>
      </c>
      <c r="C47" t="s">
        <v>166</v>
      </c>
      <c r="D47" t="s">
        <v>207</v>
      </c>
      <c r="E47">
        <v>4482</v>
      </c>
      <c r="F47" s="173" t="s">
        <v>125</v>
      </c>
      <c r="G47" s="173" t="s">
        <v>72</v>
      </c>
      <c r="H47" s="173" t="s">
        <v>70</v>
      </c>
      <c r="I47" s="173" t="s">
        <v>26</v>
      </c>
      <c r="J47" s="175" t="str">
        <f t="shared" si="0"/>
        <v>Drawer FrontNarrow Traditional 4482Shaker 4482Veranda Teak        8209-28</v>
      </c>
      <c r="K47" s="174" t="s">
        <v>256</v>
      </c>
      <c r="L47" t="s">
        <v>255</v>
      </c>
    </row>
    <row r="48" spans="1:12" x14ac:dyDescent="0.35">
      <c r="A48" s="209" t="s">
        <v>210</v>
      </c>
      <c r="B48" s="209" t="s">
        <v>175</v>
      </c>
      <c r="C48" t="s">
        <v>166</v>
      </c>
      <c r="D48" t="s">
        <v>211</v>
      </c>
      <c r="E48">
        <v>4482</v>
      </c>
      <c r="F48" s="173" t="s">
        <v>126</v>
      </c>
      <c r="G48" s="173" t="s">
        <v>72</v>
      </c>
      <c r="H48" s="173" t="s">
        <v>70</v>
      </c>
      <c r="I48" s="173" t="s">
        <v>26</v>
      </c>
      <c r="J48" s="175" t="str">
        <f t="shared" si="0"/>
        <v>Drawer FrontNarrow Traditional 4482Shaker 4482Branded Oak         8207-16</v>
      </c>
      <c r="K48" s="174" t="s">
        <v>258</v>
      </c>
      <c r="L48" t="s">
        <v>257</v>
      </c>
    </row>
    <row r="49" spans="1:12" x14ac:dyDescent="0.35">
      <c r="A49" s="209" t="s">
        <v>214</v>
      </c>
      <c r="B49" s="209" t="s">
        <v>175</v>
      </c>
      <c r="C49" t="s">
        <v>166</v>
      </c>
      <c r="D49" t="s">
        <v>215</v>
      </c>
      <c r="E49">
        <v>4482</v>
      </c>
      <c r="F49" s="173" t="s">
        <v>127</v>
      </c>
      <c r="G49" s="173" t="s">
        <v>72</v>
      </c>
      <c r="H49" s="173" t="s">
        <v>70</v>
      </c>
      <c r="I49" s="173" t="s">
        <v>26</v>
      </c>
      <c r="J49" s="175" t="str">
        <f t="shared" si="0"/>
        <v>Drawer FrontNarrow Traditional 4482Shaker 4482Saddle Oak           8206-16</v>
      </c>
      <c r="K49" s="174" t="s">
        <v>260</v>
      </c>
      <c r="L49" t="s">
        <v>259</v>
      </c>
    </row>
    <row r="50" spans="1:12" x14ac:dyDescent="0.35">
      <c r="A50" s="209" t="s">
        <v>218</v>
      </c>
      <c r="B50" s="209" t="s">
        <v>193</v>
      </c>
      <c r="C50" t="s">
        <v>166</v>
      </c>
      <c r="D50" t="s">
        <v>219</v>
      </c>
      <c r="E50">
        <v>4482</v>
      </c>
      <c r="F50" s="173" t="s">
        <v>129</v>
      </c>
      <c r="G50" s="173" t="s">
        <v>72</v>
      </c>
      <c r="H50" s="173" t="s">
        <v>70</v>
      </c>
      <c r="I50" s="173" t="s">
        <v>26</v>
      </c>
      <c r="J50" s="175" t="str">
        <f t="shared" si="0"/>
        <v>Drawer FrontNarrow Traditional 4482Shaker 4482Phantom Ecru       8212-28</v>
      </c>
      <c r="K50" s="174" t="s">
        <v>262</v>
      </c>
      <c r="L50" t="s">
        <v>261</v>
      </c>
    </row>
    <row r="51" spans="1:12" x14ac:dyDescent="0.35">
      <c r="A51" s="209" t="s">
        <v>222</v>
      </c>
      <c r="B51" s="209" t="s">
        <v>175</v>
      </c>
      <c r="C51" t="s">
        <v>166</v>
      </c>
      <c r="D51" t="s">
        <v>223</v>
      </c>
      <c r="E51">
        <v>4482</v>
      </c>
      <c r="F51" s="173" t="s">
        <v>128</v>
      </c>
      <c r="G51" s="173" t="s">
        <v>72</v>
      </c>
      <c r="H51" s="173" t="s">
        <v>70</v>
      </c>
      <c r="I51" s="173" t="s">
        <v>26</v>
      </c>
      <c r="J51" s="175" t="str">
        <f t="shared" si="0"/>
        <v>Drawer FrontNarrow Traditional 4482Shaker 4482Fawn Cypress       8208-16</v>
      </c>
      <c r="K51" s="174" t="s">
        <v>264</v>
      </c>
      <c r="L51" t="s">
        <v>263</v>
      </c>
    </row>
    <row r="52" spans="1:12" x14ac:dyDescent="0.35">
      <c r="A52" s="209" t="s">
        <v>226</v>
      </c>
      <c r="B52" s="209" t="s">
        <v>184</v>
      </c>
      <c r="C52" t="s">
        <v>166</v>
      </c>
      <c r="D52" t="s">
        <v>227</v>
      </c>
      <c r="E52">
        <v>4482</v>
      </c>
      <c r="F52" s="173" t="s">
        <v>130</v>
      </c>
      <c r="G52" s="173" t="s">
        <v>72</v>
      </c>
      <c r="H52" s="173" t="s">
        <v>70</v>
      </c>
      <c r="I52" s="173" t="s">
        <v>26</v>
      </c>
      <c r="J52" s="175" t="str">
        <f t="shared" si="0"/>
        <v>Drawer FrontNarrow Traditional 4482Shaker 4482River Cherry          7937-38</v>
      </c>
      <c r="K52" s="174" t="s">
        <v>266</v>
      </c>
      <c r="L52" t="s">
        <v>265</v>
      </c>
    </row>
    <row r="53" spans="1:12" x14ac:dyDescent="0.35">
      <c r="A53" s="209" t="s">
        <v>1183</v>
      </c>
      <c r="B53" s="209" t="s">
        <v>1184</v>
      </c>
      <c r="C53" t="s">
        <v>166</v>
      </c>
      <c r="D53" s="210" t="s">
        <v>1185</v>
      </c>
      <c r="E53">
        <v>4482</v>
      </c>
      <c r="F53" t="s">
        <v>1201</v>
      </c>
      <c r="G53" s="173" t="s">
        <v>72</v>
      </c>
      <c r="H53" s="173" t="s">
        <v>70</v>
      </c>
      <c r="I53" s="173" t="s">
        <v>26</v>
      </c>
      <c r="J53" s="175" t="str">
        <f t="shared" ref="J53:J59" si="2">CONCATENATE(I53,G53,H53,F53)</f>
        <v>Drawer FrontNarrow Traditional 4482Shaker 4482Akira                     8233-05</v>
      </c>
      <c r="K53" s="174" t="s">
        <v>1212</v>
      </c>
    </row>
    <row r="54" spans="1:12" x14ac:dyDescent="0.35">
      <c r="A54" s="209" t="s">
        <v>1186</v>
      </c>
      <c r="B54" s="209" t="s">
        <v>1184</v>
      </c>
      <c r="C54" t="s">
        <v>166</v>
      </c>
      <c r="D54" s="210" t="s">
        <v>1187</v>
      </c>
      <c r="E54">
        <v>4482</v>
      </c>
      <c r="F54" t="s">
        <v>1200</v>
      </c>
      <c r="G54" s="173" t="s">
        <v>72</v>
      </c>
      <c r="H54" s="173" t="s">
        <v>70</v>
      </c>
      <c r="I54" s="173" t="s">
        <v>26</v>
      </c>
      <c r="J54" s="175" t="str">
        <f t="shared" si="2"/>
        <v>Drawer FrontNarrow Traditional 4482Shaker 4482Belair                    8234-05</v>
      </c>
      <c r="K54" s="174" t="s">
        <v>1213</v>
      </c>
    </row>
    <row r="55" spans="1:12" x14ac:dyDescent="0.35">
      <c r="A55" s="209" t="s">
        <v>1188</v>
      </c>
      <c r="B55" s="209" t="s">
        <v>1184</v>
      </c>
      <c r="C55" t="s">
        <v>166</v>
      </c>
      <c r="D55" s="210" t="s">
        <v>1189</v>
      </c>
      <c r="E55">
        <v>4482</v>
      </c>
      <c r="F55" t="s">
        <v>1198</v>
      </c>
      <c r="G55" s="173" t="s">
        <v>72</v>
      </c>
      <c r="H55" s="173" t="s">
        <v>70</v>
      </c>
      <c r="I55" s="173" t="s">
        <v>26</v>
      </c>
      <c r="J55" s="175" t="str">
        <f t="shared" si="2"/>
        <v>Drawer FrontNarrow Traditional 4482Shaker 4482Daintree               8235-05</v>
      </c>
      <c r="K55" s="174" t="s">
        <v>1214</v>
      </c>
    </row>
    <row r="56" spans="1:12" x14ac:dyDescent="0.35">
      <c r="A56" s="209" t="s">
        <v>1190</v>
      </c>
      <c r="B56" s="209" t="s">
        <v>1184</v>
      </c>
      <c r="C56" t="s">
        <v>166</v>
      </c>
      <c r="D56" s="210" t="s">
        <v>1191</v>
      </c>
      <c r="E56">
        <v>4482</v>
      </c>
      <c r="F56" t="s">
        <v>1199</v>
      </c>
      <c r="G56" s="173" t="s">
        <v>72</v>
      </c>
      <c r="H56" s="173" t="s">
        <v>70</v>
      </c>
      <c r="I56" s="173" t="s">
        <v>26</v>
      </c>
      <c r="J56" s="175" t="str">
        <f t="shared" si="2"/>
        <v>Drawer FrontNarrow Traditional 4482Shaker 4482Monteverdi          8236-05</v>
      </c>
      <c r="K56" s="174" t="s">
        <v>1215</v>
      </c>
    </row>
    <row r="57" spans="1:12" x14ac:dyDescent="0.35">
      <c r="A57" s="209" t="s">
        <v>1192</v>
      </c>
      <c r="B57" s="209" t="s">
        <v>1184</v>
      </c>
      <c r="C57" t="s">
        <v>166</v>
      </c>
      <c r="D57" s="210" t="s">
        <v>1193</v>
      </c>
      <c r="E57">
        <v>4482</v>
      </c>
      <c r="F57" t="s">
        <v>1202</v>
      </c>
      <c r="G57" s="173" t="s">
        <v>72</v>
      </c>
      <c r="H57" s="173" t="s">
        <v>70</v>
      </c>
      <c r="I57" s="173" t="s">
        <v>26</v>
      </c>
      <c r="J57" s="175" t="str">
        <f t="shared" si="2"/>
        <v>Drawer FrontNarrow Traditional 4482Shaker 4482Great Bear           8237-05</v>
      </c>
      <c r="K57" s="174" t="s">
        <v>1216</v>
      </c>
    </row>
    <row r="58" spans="1:12" x14ac:dyDescent="0.35">
      <c r="A58" s="209" t="s">
        <v>1194</v>
      </c>
      <c r="B58" s="209" t="s">
        <v>1184</v>
      </c>
      <c r="C58" t="s">
        <v>166</v>
      </c>
      <c r="D58" s="210" t="s">
        <v>1195</v>
      </c>
      <c r="E58">
        <v>4482</v>
      </c>
      <c r="F58" t="s">
        <v>1203</v>
      </c>
      <c r="G58" s="173" t="s">
        <v>72</v>
      </c>
      <c r="H58" s="173" t="s">
        <v>70</v>
      </c>
      <c r="I58" s="173" t="s">
        <v>26</v>
      </c>
      <c r="J58" s="175" t="str">
        <f t="shared" si="2"/>
        <v>Drawer FrontNarrow Traditional 4482Shaker 4482Fairchild               8238-05</v>
      </c>
      <c r="K58" s="174" t="s">
        <v>1217</v>
      </c>
    </row>
    <row r="59" spans="1:12" x14ac:dyDescent="0.35">
      <c r="A59" s="209" t="s">
        <v>1196</v>
      </c>
      <c r="B59" s="209" t="s">
        <v>198</v>
      </c>
      <c r="C59" t="s">
        <v>166</v>
      </c>
      <c r="D59" s="210" t="s">
        <v>1197</v>
      </c>
      <c r="E59">
        <v>4482</v>
      </c>
      <c r="F59" t="s">
        <v>1204</v>
      </c>
      <c r="G59" s="173" t="s">
        <v>72</v>
      </c>
      <c r="H59" s="173" t="s">
        <v>70</v>
      </c>
      <c r="I59" s="173" t="s">
        <v>26</v>
      </c>
      <c r="J59" s="175" t="str">
        <f t="shared" si="2"/>
        <v>Drawer FrontNarrow Traditional 4482Shaker 4482Indigo                   D379-60</v>
      </c>
      <c r="K59" s="174" t="s">
        <v>1218</v>
      </c>
    </row>
    <row r="60" spans="1:12" x14ac:dyDescent="0.35">
      <c r="A60" s="209" t="s">
        <v>1106</v>
      </c>
      <c r="B60" s="209" t="s">
        <v>1115</v>
      </c>
      <c r="C60" t="s">
        <v>166</v>
      </c>
      <c r="D60" t="s">
        <v>880</v>
      </c>
      <c r="E60">
        <v>4482</v>
      </c>
      <c r="F60" t="s">
        <v>891</v>
      </c>
      <c r="G60" s="173" t="s">
        <v>72</v>
      </c>
      <c r="H60" s="173" t="s">
        <v>70</v>
      </c>
      <c r="I60" s="173" t="s">
        <v>26</v>
      </c>
      <c r="J60" s="175" t="str">
        <f t="shared" ref="J60:J70" si="3">CONCATENATE(I60,G60,H60,F60)</f>
        <v>Drawer FrontNarrow Traditional 4482Shaker 4482White Cypress    7976-79</v>
      </c>
      <c r="K60" s="174" t="s">
        <v>913</v>
      </c>
    </row>
    <row r="61" spans="1:12" x14ac:dyDescent="0.35">
      <c r="A61" s="209" t="s">
        <v>1107</v>
      </c>
      <c r="B61" s="209" t="s">
        <v>1115</v>
      </c>
      <c r="C61" t="s">
        <v>166</v>
      </c>
      <c r="D61" t="s">
        <v>881</v>
      </c>
      <c r="E61">
        <v>4482</v>
      </c>
      <c r="F61" t="s">
        <v>892</v>
      </c>
      <c r="G61" s="173" t="s">
        <v>72</v>
      </c>
      <c r="H61" s="173" t="s">
        <v>70</v>
      </c>
      <c r="I61" s="173" t="s">
        <v>26</v>
      </c>
      <c r="J61" s="175" t="str">
        <f t="shared" si="3"/>
        <v>Drawer FrontNarrow Traditional 4482Shaker 4482Randolph Forest    8225-79</v>
      </c>
      <c r="K61" s="174" t="s">
        <v>914</v>
      </c>
    </row>
    <row r="62" spans="1:12" x14ac:dyDescent="0.35">
      <c r="A62" s="209" t="s">
        <v>1108</v>
      </c>
      <c r="B62" s="209" t="s">
        <v>1115</v>
      </c>
      <c r="C62" t="s">
        <v>166</v>
      </c>
      <c r="D62" t="s">
        <v>882</v>
      </c>
      <c r="E62">
        <v>4482</v>
      </c>
      <c r="F62" t="s">
        <v>893</v>
      </c>
      <c r="G62" s="173" t="s">
        <v>72</v>
      </c>
      <c r="H62" s="173" t="s">
        <v>70</v>
      </c>
      <c r="I62" s="173" t="s">
        <v>26</v>
      </c>
      <c r="J62" s="175" t="str">
        <f t="shared" si="3"/>
        <v>Drawer FrontNarrow Traditional 4482Shaker 4482Dering Forest    8226-79</v>
      </c>
      <c r="K62" s="174" t="s">
        <v>915</v>
      </c>
    </row>
    <row r="63" spans="1:12" x14ac:dyDescent="0.35">
      <c r="A63" s="209" t="s">
        <v>1109</v>
      </c>
      <c r="B63" s="209" t="s">
        <v>1115</v>
      </c>
      <c r="C63" t="s">
        <v>166</v>
      </c>
      <c r="D63" t="s">
        <v>883</v>
      </c>
      <c r="E63">
        <v>4482</v>
      </c>
      <c r="F63" t="s">
        <v>894</v>
      </c>
      <c r="G63" s="173" t="s">
        <v>72</v>
      </c>
      <c r="H63" s="173" t="s">
        <v>70</v>
      </c>
      <c r="I63" s="173" t="s">
        <v>26</v>
      </c>
      <c r="J63" s="175" t="str">
        <f t="shared" si="3"/>
        <v>Drawer FrontNarrow Traditional 4482Shaker 4482White River Forest    8227-79</v>
      </c>
      <c r="K63" s="174" t="s">
        <v>916</v>
      </c>
    </row>
    <row r="64" spans="1:12" x14ac:dyDescent="0.35">
      <c r="A64" s="209" t="s">
        <v>1110</v>
      </c>
      <c r="B64" s="209" t="s">
        <v>1115</v>
      </c>
      <c r="C64" t="s">
        <v>166</v>
      </c>
      <c r="D64" t="s">
        <v>884</v>
      </c>
      <c r="E64">
        <v>4482</v>
      </c>
      <c r="F64" t="s">
        <v>895</v>
      </c>
      <c r="G64" s="173" t="s">
        <v>72</v>
      </c>
      <c r="H64" s="173" t="s">
        <v>70</v>
      </c>
      <c r="I64" s="173" t="s">
        <v>26</v>
      </c>
      <c r="J64" s="175" t="str">
        <f t="shared" si="3"/>
        <v>Drawer FrontNarrow Traditional 4482Shaker 4482Avondale Ash    8228-79</v>
      </c>
      <c r="K64" s="174" t="s">
        <v>917</v>
      </c>
    </row>
    <row r="65" spans="1:12" x14ac:dyDescent="0.35">
      <c r="A65" s="209" t="s">
        <v>1111</v>
      </c>
      <c r="B65" s="209" t="s">
        <v>1115</v>
      </c>
      <c r="C65" t="s">
        <v>166</v>
      </c>
      <c r="D65" t="s">
        <v>885</v>
      </c>
      <c r="E65">
        <v>4482</v>
      </c>
      <c r="F65" t="s">
        <v>896</v>
      </c>
      <c r="G65" s="173" t="s">
        <v>72</v>
      </c>
      <c r="H65" s="173" t="s">
        <v>70</v>
      </c>
      <c r="I65" s="173" t="s">
        <v>26</v>
      </c>
      <c r="J65" s="175" t="str">
        <f t="shared" si="3"/>
        <v>Drawer FrontNarrow Traditional 4482Shaker 4482Friston Ash    8229-79</v>
      </c>
      <c r="K65" s="174" t="s">
        <v>918</v>
      </c>
    </row>
    <row r="66" spans="1:12" x14ac:dyDescent="0.35">
      <c r="A66" s="209" t="s">
        <v>1112</v>
      </c>
      <c r="B66" s="209" t="s">
        <v>1115</v>
      </c>
      <c r="C66" t="s">
        <v>166</v>
      </c>
      <c r="D66" t="s">
        <v>886</v>
      </c>
      <c r="E66">
        <v>4482</v>
      </c>
      <c r="F66" t="s">
        <v>897</v>
      </c>
      <c r="G66" s="173" t="s">
        <v>72</v>
      </c>
      <c r="H66" s="173" t="s">
        <v>70</v>
      </c>
      <c r="I66" s="173" t="s">
        <v>26</v>
      </c>
      <c r="J66" s="175" t="str">
        <f t="shared" si="3"/>
        <v>Drawer FrontNarrow Traditional 4482Shaker 4482Valley Forge Elm    8231-79</v>
      </c>
      <c r="K66" s="174" t="s">
        <v>919</v>
      </c>
    </row>
    <row r="67" spans="1:12" x14ac:dyDescent="0.35">
      <c r="A67" s="209" t="s">
        <v>1113</v>
      </c>
      <c r="B67" s="209" t="s">
        <v>193</v>
      </c>
      <c r="C67" t="s">
        <v>166</v>
      </c>
      <c r="D67" t="s">
        <v>887</v>
      </c>
      <c r="E67">
        <v>4482</v>
      </c>
      <c r="F67" t="s">
        <v>898</v>
      </c>
      <c r="G67" s="173" t="s">
        <v>72</v>
      </c>
      <c r="H67" s="173" t="s">
        <v>70</v>
      </c>
      <c r="I67" s="173" t="s">
        <v>26</v>
      </c>
      <c r="J67" s="175" t="str">
        <f t="shared" si="3"/>
        <v>Drawer FrontNarrow Traditional 4482Shaker 4482High Line    7970-28</v>
      </c>
      <c r="K67" s="174" t="s">
        <v>920</v>
      </c>
    </row>
    <row r="68" spans="1:12" x14ac:dyDescent="0.35">
      <c r="A68" s="209" t="s">
        <v>183</v>
      </c>
      <c r="B68" s="209" t="s">
        <v>193</v>
      </c>
      <c r="C68" t="s">
        <v>166</v>
      </c>
      <c r="D68" t="s">
        <v>888</v>
      </c>
      <c r="E68">
        <v>4482</v>
      </c>
      <c r="F68" t="s">
        <v>899</v>
      </c>
      <c r="G68" s="173" t="s">
        <v>72</v>
      </c>
      <c r="H68" s="173" t="s">
        <v>70</v>
      </c>
      <c r="I68" s="173" t="s">
        <v>26</v>
      </c>
      <c r="J68" s="175" t="str">
        <f t="shared" si="3"/>
        <v>Drawer FrontNarrow Traditional 4482Shaker 4482Neowalnut    7991-28</v>
      </c>
      <c r="K68" s="174" t="s">
        <v>921</v>
      </c>
    </row>
    <row r="69" spans="1:12" x14ac:dyDescent="0.35">
      <c r="A69" s="209" t="s">
        <v>1114</v>
      </c>
      <c r="B69" s="209" t="s">
        <v>193</v>
      </c>
      <c r="C69" t="s">
        <v>166</v>
      </c>
      <c r="D69" t="s">
        <v>889</v>
      </c>
      <c r="E69">
        <v>4482</v>
      </c>
      <c r="F69" t="s">
        <v>900</v>
      </c>
      <c r="G69" s="173" t="s">
        <v>72</v>
      </c>
      <c r="H69" s="173" t="s">
        <v>70</v>
      </c>
      <c r="I69" s="173" t="s">
        <v>26</v>
      </c>
      <c r="J69" s="175" t="str">
        <f t="shared" si="3"/>
        <v>Drawer FrontNarrow Traditional 4482Shaker 4482Portico Teak    8210-28</v>
      </c>
      <c r="K69" s="174" t="s">
        <v>922</v>
      </c>
    </row>
    <row r="70" spans="1:12" x14ac:dyDescent="0.35">
      <c r="A70" s="209" t="s">
        <v>879</v>
      </c>
      <c r="B70" s="209" t="s">
        <v>198</v>
      </c>
      <c r="C70" t="s">
        <v>166</v>
      </c>
      <c r="D70" t="s">
        <v>890</v>
      </c>
      <c r="E70">
        <v>4482</v>
      </c>
      <c r="F70" t="s">
        <v>901</v>
      </c>
      <c r="G70" s="173" t="s">
        <v>72</v>
      </c>
      <c r="H70" s="173" t="s">
        <v>70</v>
      </c>
      <c r="I70" s="173" t="s">
        <v>26</v>
      </c>
      <c r="J70" s="175" t="str">
        <f t="shared" si="3"/>
        <v>Drawer FrontNarrow Traditional 4482Shaker 4482Pepperdust    D327-60</v>
      </c>
      <c r="K70" s="174" t="s">
        <v>923</v>
      </c>
    </row>
    <row r="71" spans="1:12" x14ac:dyDescent="0.35">
      <c r="A71" s="209" t="s">
        <v>230</v>
      </c>
      <c r="B71" s="209" t="s">
        <v>165</v>
      </c>
      <c r="C71" t="s">
        <v>166</v>
      </c>
      <c r="D71" t="s">
        <v>231</v>
      </c>
      <c r="E71">
        <v>4482</v>
      </c>
      <c r="F71" s="173" t="s">
        <v>12</v>
      </c>
      <c r="G71" s="173" t="s">
        <v>72</v>
      </c>
      <c r="H71" s="173" t="s">
        <v>70</v>
      </c>
      <c r="I71" s="173" t="s">
        <v>26</v>
      </c>
      <c r="J71" s="175" t="str">
        <f t="shared" si="0"/>
        <v>Drawer FrontNarrow Traditional 4482Shaker 4482Columbian Walnut  7943-07</v>
      </c>
      <c r="K71" s="174" t="s">
        <v>268</v>
      </c>
      <c r="L71" t="s">
        <v>267</v>
      </c>
    </row>
    <row r="72" spans="1:12" x14ac:dyDescent="0.35">
      <c r="A72" s="209" t="s">
        <v>234</v>
      </c>
      <c r="B72" s="209" t="s">
        <v>184</v>
      </c>
      <c r="C72" t="s">
        <v>166</v>
      </c>
      <c r="D72" t="s">
        <v>235</v>
      </c>
      <c r="E72">
        <v>4482</v>
      </c>
      <c r="F72" s="173" t="s">
        <v>131</v>
      </c>
      <c r="G72" s="173" t="s">
        <v>72</v>
      </c>
      <c r="H72" s="173" t="s">
        <v>70</v>
      </c>
      <c r="I72" s="173" t="s">
        <v>26</v>
      </c>
      <c r="J72" s="175" t="str">
        <f t="shared" si="0"/>
        <v>Drawer FrontNarrow Traditional 4482Shaker 4482Florence Walnut    7993-38</v>
      </c>
      <c r="K72" s="174" t="s">
        <v>270</v>
      </c>
      <c r="L72" t="s">
        <v>269</v>
      </c>
    </row>
    <row r="73" spans="1:12" x14ac:dyDescent="0.35">
      <c r="A73" s="209" t="s">
        <v>164</v>
      </c>
      <c r="B73" s="209" t="s">
        <v>165</v>
      </c>
      <c r="C73" t="s">
        <v>272</v>
      </c>
      <c r="D73" t="s">
        <v>167</v>
      </c>
      <c r="E73">
        <v>4482</v>
      </c>
      <c r="F73" s="173" t="s">
        <v>132</v>
      </c>
      <c r="G73" s="173" t="s">
        <v>72</v>
      </c>
      <c r="H73" s="173" t="s">
        <v>71</v>
      </c>
      <c r="I73" s="173" t="s">
        <v>14</v>
      </c>
      <c r="J73" s="175" t="str">
        <f t="shared" si="0"/>
        <v>DoorNarrow Traditional 4482Miter 4482Shaker Cherry       7935-07</v>
      </c>
      <c r="K73" s="174" t="s">
        <v>273</v>
      </c>
      <c r="L73" t="s">
        <v>271</v>
      </c>
    </row>
    <row r="74" spans="1:12" x14ac:dyDescent="0.35">
      <c r="A74" s="209" t="s">
        <v>170</v>
      </c>
      <c r="B74" s="209" t="s">
        <v>165</v>
      </c>
      <c r="C74" t="s">
        <v>272</v>
      </c>
      <c r="D74" t="s">
        <v>171</v>
      </c>
      <c r="E74">
        <v>4482</v>
      </c>
      <c r="F74" s="173" t="s">
        <v>133</v>
      </c>
      <c r="G74" s="173" t="s">
        <v>72</v>
      </c>
      <c r="H74" s="173" t="s">
        <v>71</v>
      </c>
      <c r="I74" s="173" t="s">
        <v>14</v>
      </c>
      <c r="J74" s="175" t="str">
        <f t="shared" si="0"/>
        <v>DoorNarrow Traditional 4482Miter 4482Cafelle 7933-07</v>
      </c>
      <c r="K74" s="174" t="s">
        <v>275</v>
      </c>
      <c r="L74" t="s">
        <v>274</v>
      </c>
    </row>
    <row r="75" spans="1:12" x14ac:dyDescent="0.35">
      <c r="A75" s="209" t="s">
        <v>174</v>
      </c>
      <c r="B75" s="209" t="s">
        <v>175</v>
      </c>
      <c r="C75" t="s">
        <v>272</v>
      </c>
      <c r="D75" t="s">
        <v>176</v>
      </c>
      <c r="E75">
        <v>4482</v>
      </c>
      <c r="F75" s="173" t="s">
        <v>123</v>
      </c>
      <c r="G75" s="173" t="s">
        <v>72</v>
      </c>
      <c r="H75" s="173" t="s">
        <v>71</v>
      </c>
      <c r="I75" s="173" t="s">
        <v>14</v>
      </c>
      <c r="J75" s="175" t="str">
        <f t="shared" si="0"/>
        <v>DoorNarrow Traditional 4482Miter 4482White Driftwood      8200-16</v>
      </c>
      <c r="K75" s="174" t="s">
        <v>277</v>
      </c>
      <c r="L75" t="s">
        <v>276</v>
      </c>
    </row>
    <row r="76" spans="1:12" x14ac:dyDescent="0.35">
      <c r="A76" s="209" t="s">
        <v>179</v>
      </c>
      <c r="B76" s="209" t="s">
        <v>175</v>
      </c>
      <c r="C76" t="s">
        <v>272</v>
      </c>
      <c r="D76" t="s">
        <v>180</v>
      </c>
      <c r="E76">
        <v>4482</v>
      </c>
      <c r="F76" s="173" t="s">
        <v>124</v>
      </c>
      <c r="G76" s="173" t="s">
        <v>72</v>
      </c>
      <c r="H76" s="173" t="s">
        <v>71</v>
      </c>
      <c r="I76" s="173" t="s">
        <v>14</v>
      </c>
      <c r="J76" s="175" t="str">
        <f t="shared" si="0"/>
        <v>DoorNarrow Traditional 4482Miter 4482Weathered Char     8204-16</v>
      </c>
      <c r="K76" s="174" t="s">
        <v>279</v>
      </c>
      <c r="L76" t="s">
        <v>278</v>
      </c>
    </row>
    <row r="77" spans="1:12" x14ac:dyDescent="0.35">
      <c r="A77" s="209" t="s">
        <v>183</v>
      </c>
      <c r="B77" s="209" t="s">
        <v>184</v>
      </c>
      <c r="C77" t="s">
        <v>272</v>
      </c>
      <c r="D77" t="s">
        <v>185</v>
      </c>
      <c r="E77">
        <v>4482</v>
      </c>
      <c r="F77" s="173" t="s">
        <v>134</v>
      </c>
      <c r="G77" s="173" t="s">
        <v>72</v>
      </c>
      <c r="H77" s="173" t="s">
        <v>71</v>
      </c>
      <c r="I77" s="173" t="s">
        <v>14</v>
      </c>
      <c r="J77" s="175" t="str">
        <f t="shared" si="0"/>
        <v>DoorNarrow Traditional 4482Miter 4482Neowalnut 7991-38</v>
      </c>
      <c r="K77" s="174" t="s">
        <v>281</v>
      </c>
      <c r="L77" t="s">
        <v>280</v>
      </c>
    </row>
    <row r="78" spans="1:12" x14ac:dyDescent="0.35">
      <c r="A78" s="209" t="s">
        <v>188</v>
      </c>
      <c r="B78" s="209" t="s">
        <v>184</v>
      </c>
      <c r="C78" t="s">
        <v>272</v>
      </c>
      <c r="D78" t="s">
        <v>189</v>
      </c>
      <c r="E78">
        <v>4482</v>
      </c>
      <c r="F78" s="173" t="s">
        <v>135</v>
      </c>
      <c r="G78" s="173" t="s">
        <v>72</v>
      </c>
      <c r="H78" s="173" t="s">
        <v>71</v>
      </c>
      <c r="I78" s="173" t="s">
        <v>14</v>
      </c>
      <c r="J78" s="175" t="str">
        <f t="shared" si="0"/>
        <v>DoorNarrow Traditional 4482Miter 4482Ebony Recon        7997-38</v>
      </c>
      <c r="K78" s="174" t="s">
        <v>283</v>
      </c>
      <c r="L78" t="s">
        <v>282</v>
      </c>
    </row>
    <row r="79" spans="1:12" x14ac:dyDescent="0.35">
      <c r="A79" s="209" t="s">
        <v>192</v>
      </c>
      <c r="B79" s="209" t="s">
        <v>193</v>
      </c>
      <c r="C79" t="s">
        <v>272</v>
      </c>
      <c r="D79" t="s">
        <v>194</v>
      </c>
      <c r="E79">
        <v>4482</v>
      </c>
      <c r="F79" s="173" t="s">
        <v>36</v>
      </c>
      <c r="G79" s="173" t="s">
        <v>72</v>
      </c>
      <c r="H79" s="173" t="s">
        <v>71</v>
      </c>
      <c r="I79" s="173" t="s">
        <v>14</v>
      </c>
      <c r="J79" s="175" t="str">
        <f t="shared" si="0"/>
        <v>DoorNarrow Traditional 4482Miter 4482Phantom Charcoal  8214-28</v>
      </c>
      <c r="K79" s="174" t="s">
        <v>285</v>
      </c>
      <c r="L79" t="s">
        <v>284</v>
      </c>
    </row>
    <row r="80" spans="1:12" x14ac:dyDescent="0.35">
      <c r="A80" s="209" t="s">
        <v>197</v>
      </c>
      <c r="B80" s="209" t="s">
        <v>198</v>
      </c>
      <c r="C80" t="s">
        <v>272</v>
      </c>
      <c r="D80" t="s">
        <v>199</v>
      </c>
      <c r="E80">
        <v>4482</v>
      </c>
      <c r="F80" s="173" t="s">
        <v>11</v>
      </c>
      <c r="G80" s="173" t="s">
        <v>72</v>
      </c>
      <c r="H80" s="173" t="s">
        <v>71</v>
      </c>
      <c r="I80" s="173" t="s">
        <v>14</v>
      </c>
      <c r="J80" s="175" t="str">
        <f t="shared" si="0"/>
        <v>DoorNarrow Traditional 4482Miter 4482Linen  D427-60</v>
      </c>
      <c r="K80" s="174" t="s">
        <v>287</v>
      </c>
      <c r="L80" t="s">
        <v>286</v>
      </c>
    </row>
    <row r="81" spans="1:12" x14ac:dyDescent="0.35">
      <c r="A81" s="209" t="s">
        <v>202</v>
      </c>
      <c r="B81" s="209" t="s">
        <v>193</v>
      </c>
      <c r="C81" t="s">
        <v>272</v>
      </c>
      <c r="D81" t="s">
        <v>203</v>
      </c>
      <c r="E81">
        <v>4482</v>
      </c>
      <c r="F81" s="173" t="s">
        <v>136</v>
      </c>
      <c r="G81" s="173" t="s">
        <v>72</v>
      </c>
      <c r="H81" s="173" t="s">
        <v>71</v>
      </c>
      <c r="I81" s="173" t="s">
        <v>14</v>
      </c>
      <c r="J81" s="175" t="str">
        <f t="shared" si="0"/>
        <v>DoorNarrow Traditional 4482Miter 4482Phantom Pearl      8211-28</v>
      </c>
      <c r="K81" s="174" t="s">
        <v>289</v>
      </c>
      <c r="L81" t="s">
        <v>288</v>
      </c>
    </row>
    <row r="82" spans="1:12" x14ac:dyDescent="0.35">
      <c r="A82" s="209" t="s">
        <v>206</v>
      </c>
      <c r="B82" s="209" t="s">
        <v>193</v>
      </c>
      <c r="C82" t="s">
        <v>272</v>
      </c>
      <c r="D82" t="s">
        <v>207</v>
      </c>
      <c r="E82">
        <v>4482</v>
      </c>
      <c r="F82" s="173" t="s">
        <v>125</v>
      </c>
      <c r="G82" s="173" t="s">
        <v>72</v>
      </c>
      <c r="H82" s="173" t="s">
        <v>71</v>
      </c>
      <c r="I82" s="173" t="s">
        <v>14</v>
      </c>
      <c r="J82" s="175" t="str">
        <f t="shared" si="0"/>
        <v>DoorNarrow Traditional 4482Miter 4482Veranda Teak        8209-28</v>
      </c>
      <c r="K82" s="174" t="s">
        <v>291</v>
      </c>
      <c r="L82" t="s">
        <v>290</v>
      </c>
    </row>
    <row r="83" spans="1:12" x14ac:dyDescent="0.35">
      <c r="A83" s="209" t="s">
        <v>210</v>
      </c>
      <c r="B83" s="209" t="s">
        <v>175</v>
      </c>
      <c r="C83" t="s">
        <v>272</v>
      </c>
      <c r="D83" t="s">
        <v>211</v>
      </c>
      <c r="E83">
        <v>4482</v>
      </c>
      <c r="F83" s="173" t="s">
        <v>126</v>
      </c>
      <c r="G83" s="173" t="s">
        <v>72</v>
      </c>
      <c r="H83" s="173" t="s">
        <v>71</v>
      </c>
      <c r="I83" s="173" t="s">
        <v>14</v>
      </c>
      <c r="J83" s="175" t="str">
        <f t="shared" si="0"/>
        <v>DoorNarrow Traditional 4482Miter 4482Branded Oak         8207-16</v>
      </c>
      <c r="K83" s="174" t="s">
        <v>293</v>
      </c>
      <c r="L83" t="s">
        <v>292</v>
      </c>
    </row>
    <row r="84" spans="1:12" x14ac:dyDescent="0.35">
      <c r="A84" s="209" t="s">
        <v>214</v>
      </c>
      <c r="B84" s="209" t="s">
        <v>175</v>
      </c>
      <c r="C84" t="s">
        <v>272</v>
      </c>
      <c r="D84" t="s">
        <v>215</v>
      </c>
      <c r="E84">
        <v>4482</v>
      </c>
      <c r="F84" s="173" t="s">
        <v>127</v>
      </c>
      <c r="G84" s="173" t="s">
        <v>72</v>
      </c>
      <c r="H84" s="173" t="s">
        <v>71</v>
      </c>
      <c r="I84" s="173" t="s">
        <v>14</v>
      </c>
      <c r="J84" s="175" t="str">
        <f t="shared" si="0"/>
        <v>DoorNarrow Traditional 4482Miter 4482Saddle Oak           8206-16</v>
      </c>
      <c r="K84" s="174" t="s">
        <v>295</v>
      </c>
      <c r="L84" t="s">
        <v>294</v>
      </c>
    </row>
    <row r="85" spans="1:12" x14ac:dyDescent="0.35">
      <c r="A85" s="209" t="s">
        <v>218</v>
      </c>
      <c r="B85" s="209" t="s">
        <v>193</v>
      </c>
      <c r="C85" t="s">
        <v>272</v>
      </c>
      <c r="D85" t="s">
        <v>219</v>
      </c>
      <c r="E85">
        <v>4482</v>
      </c>
      <c r="F85" s="173" t="s">
        <v>129</v>
      </c>
      <c r="G85" s="173" t="s">
        <v>72</v>
      </c>
      <c r="H85" s="173" t="s">
        <v>71</v>
      </c>
      <c r="I85" s="173" t="s">
        <v>14</v>
      </c>
      <c r="J85" s="175" t="str">
        <f t="shared" si="0"/>
        <v>DoorNarrow Traditional 4482Miter 4482Phantom Ecru       8212-28</v>
      </c>
      <c r="K85" s="174" t="s">
        <v>297</v>
      </c>
      <c r="L85" t="s">
        <v>296</v>
      </c>
    </row>
    <row r="86" spans="1:12" x14ac:dyDescent="0.35">
      <c r="A86" s="209" t="s">
        <v>222</v>
      </c>
      <c r="B86" s="209" t="s">
        <v>175</v>
      </c>
      <c r="C86" t="s">
        <v>272</v>
      </c>
      <c r="D86" t="s">
        <v>223</v>
      </c>
      <c r="E86">
        <v>4482</v>
      </c>
      <c r="F86" s="173" t="s">
        <v>128</v>
      </c>
      <c r="G86" s="173" t="s">
        <v>72</v>
      </c>
      <c r="H86" s="173" t="s">
        <v>71</v>
      </c>
      <c r="I86" s="173" t="s">
        <v>14</v>
      </c>
      <c r="J86" s="175" t="str">
        <f t="shared" si="0"/>
        <v>DoorNarrow Traditional 4482Miter 4482Fawn Cypress       8208-16</v>
      </c>
      <c r="K86" s="174" t="s">
        <v>299</v>
      </c>
      <c r="L86" t="s">
        <v>298</v>
      </c>
    </row>
    <row r="87" spans="1:12" x14ac:dyDescent="0.35">
      <c r="A87" s="209" t="s">
        <v>226</v>
      </c>
      <c r="B87" s="209" t="s">
        <v>184</v>
      </c>
      <c r="C87" t="s">
        <v>272</v>
      </c>
      <c r="D87" t="s">
        <v>227</v>
      </c>
      <c r="E87">
        <v>4482</v>
      </c>
      <c r="F87" s="173" t="s">
        <v>130</v>
      </c>
      <c r="G87" s="173" t="s">
        <v>72</v>
      </c>
      <c r="H87" s="173" t="s">
        <v>71</v>
      </c>
      <c r="I87" s="173" t="s">
        <v>14</v>
      </c>
      <c r="J87" s="175" t="str">
        <f t="shared" si="0"/>
        <v>DoorNarrow Traditional 4482Miter 4482River Cherry          7937-38</v>
      </c>
      <c r="K87" s="174" t="s">
        <v>301</v>
      </c>
      <c r="L87" t="s">
        <v>300</v>
      </c>
    </row>
    <row r="88" spans="1:12" x14ac:dyDescent="0.35">
      <c r="A88" s="209" t="s">
        <v>1183</v>
      </c>
      <c r="B88" s="209" t="s">
        <v>1184</v>
      </c>
      <c r="C88" t="s">
        <v>272</v>
      </c>
      <c r="D88" s="210" t="s">
        <v>1185</v>
      </c>
      <c r="E88">
        <v>4482</v>
      </c>
      <c r="F88" t="s">
        <v>1201</v>
      </c>
      <c r="G88" s="173" t="s">
        <v>72</v>
      </c>
      <c r="H88" s="173" t="s">
        <v>71</v>
      </c>
      <c r="I88" s="173" t="s">
        <v>14</v>
      </c>
      <c r="J88" s="175" t="str">
        <f t="shared" ref="J88:J94" si="4">CONCATENATE(I88,G88,H88,F88)</f>
        <v>DoorNarrow Traditional 4482Miter 4482Akira                     8233-05</v>
      </c>
      <c r="K88" s="174" t="s">
        <v>1219</v>
      </c>
    </row>
    <row r="89" spans="1:12" x14ac:dyDescent="0.35">
      <c r="A89" s="209" t="s">
        <v>1186</v>
      </c>
      <c r="B89" s="209" t="s">
        <v>1184</v>
      </c>
      <c r="C89" t="s">
        <v>272</v>
      </c>
      <c r="D89" s="210" t="s">
        <v>1187</v>
      </c>
      <c r="E89">
        <v>4482</v>
      </c>
      <c r="F89" t="s">
        <v>1200</v>
      </c>
      <c r="G89" s="173" t="s">
        <v>72</v>
      </c>
      <c r="H89" s="173" t="s">
        <v>71</v>
      </c>
      <c r="I89" s="173" t="s">
        <v>14</v>
      </c>
      <c r="J89" s="175" t="str">
        <f t="shared" si="4"/>
        <v>DoorNarrow Traditional 4482Miter 4482Belair                    8234-05</v>
      </c>
      <c r="K89" s="174" t="s">
        <v>1220</v>
      </c>
    </row>
    <row r="90" spans="1:12" x14ac:dyDescent="0.35">
      <c r="A90" s="209" t="s">
        <v>1188</v>
      </c>
      <c r="B90" s="209" t="s">
        <v>1184</v>
      </c>
      <c r="C90" t="s">
        <v>272</v>
      </c>
      <c r="D90" s="210" t="s">
        <v>1189</v>
      </c>
      <c r="E90">
        <v>4482</v>
      </c>
      <c r="F90" t="s">
        <v>1198</v>
      </c>
      <c r="G90" s="173" t="s">
        <v>72</v>
      </c>
      <c r="H90" s="173" t="s">
        <v>71</v>
      </c>
      <c r="I90" s="173" t="s">
        <v>14</v>
      </c>
      <c r="J90" s="175" t="str">
        <f t="shared" si="4"/>
        <v>DoorNarrow Traditional 4482Miter 4482Daintree               8235-05</v>
      </c>
      <c r="K90" s="174" t="s">
        <v>1221</v>
      </c>
    </row>
    <row r="91" spans="1:12" x14ac:dyDescent="0.35">
      <c r="A91" s="209" t="s">
        <v>1190</v>
      </c>
      <c r="B91" s="209" t="s">
        <v>1184</v>
      </c>
      <c r="C91" t="s">
        <v>272</v>
      </c>
      <c r="D91" s="210" t="s">
        <v>1191</v>
      </c>
      <c r="E91">
        <v>4482</v>
      </c>
      <c r="F91" t="s">
        <v>1199</v>
      </c>
      <c r="G91" s="173" t="s">
        <v>72</v>
      </c>
      <c r="H91" s="173" t="s">
        <v>71</v>
      </c>
      <c r="I91" s="173" t="s">
        <v>14</v>
      </c>
      <c r="J91" s="175" t="str">
        <f t="shared" si="4"/>
        <v>DoorNarrow Traditional 4482Miter 4482Monteverdi          8236-05</v>
      </c>
      <c r="K91" s="174" t="s">
        <v>1222</v>
      </c>
    </row>
    <row r="92" spans="1:12" x14ac:dyDescent="0.35">
      <c r="A92" s="209" t="s">
        <v>1192</v>
      </c>
      <c r="B92" s="209" t="s">
        <v>1184</v>
      </c>
      <c r="C92" t="s">
        <v>272</v>
      </c>
      <c r="D92" s="210" t="s">
        <v>1193</v>
      </c>
      <c r="E92">
        <v>4482</v>
      </c>
      <c r="F92" t="s">
        <v>1202</v>
      </c>
      <c r="G92" s="173" t="s">
        <v>72</v>
      </c>
      <c r="H92" s="173" t="s">
        <v>71</v>
      </c>
      <c r="I92" s="173" t="s">
        <v>14</v>
      </c>
      <c r="J92" s="175" t="str">
        <f t="shared" si="4"/>
        <v>DoorNarrow Traditional 4482Miter 4482Great Bear           8237-05</v>
      </c>
      <c r="K92" s="174" t="s">
        <v>1223</v>
      </c>
    </row>
    <row r="93" spans="1:12" x14ac:dyDescent="0.35">
      <c r="A93" s="209" t="s">
        <v>1194</v>
      </c>
      <c r="B93" s="209" t="s">
        <v>1184</v>
      </c>
      <c r="C93" t="s">
        <v>272</v>
      </c>
      <c r="D93" s="210" t="s">
        <v>1195</v>
      </c>
      <c r="E93">
        <v>4482</v>
      </c>
      <c r="F93" t="s">
        <v>1203</v>
      </c>
      <c r="G93" s="173" t="s">
        <v>72</v>
      </c>
      <c r="H93" s="173" t="s">
        <v>71</v>
      </c>
      <c r="I93" s="173" t="s">
        <v>14</v>
      </c>
      <c r="J93" s="175" t="str">
        <f t="shared" si="4"/>
        <v>DoorNarrow Traditional 4482Miter 4482Fairchild               8238-05</v>
      </c>
      <c r="K93" s="174" t="s">
        <v>1224</v>
      </c>
    </row>
    <row r="94" spans="1:12" x14ac:dyDescent="0.35">
      <c r="A94" s="209" t="s">
        <v>1196</v>
      </c>
      <c r="B94" s="209" t="s">
        <v>198</v>
      </c>
      <c r="C94" t="s">
        <v>272</v>
      </c>
      <c r="D94" s="210" t="s">
        <v>1197</v>
      </c>
      <c r="E94">
        <v>4482</v>
      </c>
      <c r="F94" t="s">
        <v>1204</v>
      </c>
      <c r="G94" s="173" t="s">
        <v>72</v>
      </c>
      <c r="H94" s="173" t="s">
        <v>71</v>
      </c>
      <c r="I94" s="173" t="s">
        <v>14</v>
      </c>
      <c r="J94" s="175" t="str">
        <f t="shared" si="4"/>
        <v>DoorNarrow Traditional 4482Miter 4482Indigo                   D379-60</v>
      </c>
      <c r="K94" s="174" t="s">
        <v>1225</v>
      </c>
    </row>
    <row r="95" spans="1:12" x14ac:dyDescent="0.35">
      <c r="A95" s="209" t="s">
        <v>1106</v>
      </c>
      <c r="B95" s="209" t="s">
        <v>1115</v>
      </c>
      <c r="C95" t="s">
        <v>272</v>
      </c>
      <c r="D95" t="s">
        <v>880</v>
      </c>
      <c r="E95">
        <v>4482</v>
      </c>
      <c r="F95" t="s">
        <v>891</v>
      </c>
      <c r="G95" s="173" t="s">
        <v>72</v>
      </c>
      <c r="H95" s="173" t="s">
        <v>71</v>
      </c>
      <c r="I95" s="173" t="s">
        <v>14</v>
      </c>
      <c r="J95" s="175" t="str">
        <f t="shared" ref="J95:J105" si="5">CONCATENATE(I95,G95,H95,F95)</f>
        <v>DoorNarrow Traditional 4482Miter 4482White Cypress    7976-79</v>
      </c>
      <c r="K95" s="174" t="s">
        <v>924</v>
      </c>
    </row>
    <row r="96" spans="1:12" x14ac:dyDescent="0.35">
      <c r="A96" s="209" t="s">
        <v>1107</v>
      </c>
      <c r="B96" s="209" t="s">
        <v>1115</v>
      </c>
      <c r="C96" t="s">
        <v>272</v>
      </c>
      <c r="D96" t="s">
        <v>881</v>
      </c>
      <c r="E96">
        <v>4482</v>
      </c>
      <c r="F96" t="s">
        <v>892</v>
      </c>
      <c r="G96" s="173" t="s">
        <v>72</v>
      </c>
      <c r="H96" s="173" t="s">
        <v>71</v>
      </c>
      <c r="I96" s="173" t="s">
        <v>14</v>
      </c>
      <c r="J96" s="175" t="str">
        <f t="shared" si="5"/>
        <v>DoorNarrow Traditional 4482Miter 4482Randolph Forest    8225-79</v>
      </c>
      <c r="K96" s="174" t="s">
        <v>925</v>
      </c>
    </row>
    <row r="97" spans="1:12" x14ac:dyDescent="0.35">
      <c r="A97" s="209" t="s">
        <v>1108</v>
      </c>
      <c r="B97" s="209" t="s">
        <v>1115</v>
      </c>
      <c r="C97" t="s">
        <v>272</v>
      </c>
      <c r="D97" t="s">
        <v>882</v>
      </c>
      <c r="E97">
        <v>4482</v>
      </c>
      <c r="F97" t="s">
        <v>893</v>
      </c>
      <c r="G97" s="173" t="s">
        <v>72</v>
      </c>
      <c r="H97" s="173" t="s">
        <v>71</v>
      </c>
      <c r="I97" s="173" t="s">
        <v>14</v>
      </c>
      <c r="J97" s="175" t="str">
        <f t="shared" si="5"/>
        <v>DoorNarrow Traditional 4482Miter 4482Dering Forest    8226-79</v>
      </c>
      <c r="K97" s="174" t="s">
        <v>926</v>
      </c>
    </row>
    <row r="98" spans="1:12" x14ac:dyDescent="0.35">
      <c r="A98" s="209" t="s">
        <v>1109</v>
      </c>
      <c r="B98" s="209" t="s">
        <v>1115</v>
      </c>
      <c r="C98" t="s">
        <v>272</v>
      </c>
      <c r="D98" t="s">
        <v>883</v>
      </c>
      <c r="E98">
        <v>4482</v>
      </c>
      <c r="F98" t="s">
        <v>894</v>
      </c>
      <c r="G98" s="173" t="s">
        <v>72</v>
      </c>
      <c r="H98" s="173" t="s">
        <v>71</v>
      </c>
      <c r="I98" s="173" t="s">
        <v>14</v>
      </c>
      <c r="J98" s="175" t="str">
        <f t="shared" si="5"/>
        <v>DoorNarrow Traditional 4482Miter 4482White River Forest    8227-79</v>
      </c>
      <c r="K98" s="174" t="s">
        <v>927</v>
      </c>
    </row>
    <row r="99" spans="1:12" x14ac:dyDescent="0.35">
      <c r="A99" s="209" t="s">
        <v>1110</v>
      </c>
      <c r="B99" s="209" t="s">
        <v>1115</v>
      </c>
      <c r="C99" t="s">
        <v>272</v>
      </c>
      <c r="D99" t="s">
        <v>884</v>
      </c>
      <c r="E99">
        <v>4482</v>
      </c>
      <c r="F99" t="s">
        <v>895</v>
      </c>
      <c r="G99" s="173" t="s">
        <v>72</v>
      </c>
      <c r="H99" s="173" t="s">
        <v>71</v>
      </c>
      <c r="I99" s="173" t="s">
        <v>14</v>
      </c>
      <c r="J99" s="175" t="str">
        <f t="shared" si="5"/>
        <v>DoorNarrow Traditional 4482Miter 4482Avondale Ash    8228-79</v>
      </c>
      <c r="K99" s="174" t="s">
        <v>928</v>
      </c>
    </row>
    <row r="100" spans="1:12" x14ac:dyDescent="0.35">
      <c r="A100" s="209" t="s">
        <v>1111</v>
      </c>
      <c r="B100" s="209" t="s">
        <v>1115</v>
      </c>
      <c r="C100" t="s">
        <v>272</v>
      </c>
      <c r="D100" t="s">
        <v>885</v>
      </c>
      <c r="E100">
        <v>4482</v>
      </c>
      <c r="F100" t="s">
        <v>896</v>
      </c>
      <c r="G100" s="173" t="s">
        <v>72</v>
      </c>
      <c r="H100" s="173" t="s">
        <v>71</v>
      </c>
      <c r="I100" s="173" t="s">
        <v>14</v>
      </c>
      <c r="J100" s="175" t="str">
        <f t="shared" si="5"/>
        <v>DoorNarrow Traditional 4482Miter 4482Friston Ash    8229-79</v>
      </c>
      <c r="K100" s="174" t="s">
        <v>929</v>
      </c>
    </row>
    <row r="101" spans="1:12" x14ac:dyDescent="0.35">
      <c r="A101" s="209" t="s">
        <v>1112</v>
      </c>
      <c r="B101" s="209" t="s">
        <v>1115</v>
      </c>
      <c r="C101" t="s">
        <v>272</v>
      </c>
      <c r="D101" t="s">
        <v>886</v>
      </c>
      <c r="E101">
        <v>4482</v>
      </c>
      <c r="F101" t="s">
        <v>897</v>
      </c>
      <c r="G101" s="173" t="s">
        <v>72</v>
      </c>
      <c r="H101" s="173" t="s">
        <v>71</v>
      </c>
      <c r="I101" s="173" t="s">
        <v>14</v>
      </c>
      <c r="J101" s="175" t="str">
        <f t="shared" si="5"/>
        <v>DoorNarrow Traditional 4482Miter 4482Valley Forge Elm    8231-79</v>
      </c>
      <c r="K101" s="174" t="s">
        <v>930</v>
      </c>
    </row>
    <row r="102" spans="1:12" x14ac:dyDescent="0.35">
      <c r="A102" s="209" t="s">
        <v>1113</v>
      </c>
      <c r="B102" s="209" t="s">
        <v>193</v>
      </c>
      <c r="C102" t="s">
        <v>272</v>
      </c>
      <c r="D102" t="s">
        <v>887</v>
      </c>
      <c r="E102">
        <v>4482</v>
      </c>
      <c r="F102" t="s">
        <v>898</v>
      </c>
      <c r="G102" s="173" t="s">
        <v>72</v>
      </c>
      <c r="H102" s="173" t="s">
        <v>71</v>
      </c>
      <c r="I102" s="173" t="s">
        <v>14</v>
      </c>
      <c r="J102" s="175" t="str">
        <f t="shared" si="5"/>
        <v>DoorNarrow Traditional 4482Miter 4482High Line    7970-28</v>
      </c>
      <c r="K102" s="174" t="s">
        <v>1178</v>
      </c>
    </row>
    <row r="103" spans="1:12" x14ac:dyDescent="0.35">
      <c r="A103" s="209" t="s">
        <v>183</v>
      </c>
      <c r="B103" s="209" t="s">
        <v>193</v>
      </c>
      <c r="C103" t="s">
        <v>272</v>
      </c>
      <c r="D103" t="s">
        <v>888</v>
      </c>
      <c r="E103">
        <v>4482</v>
      </c>
      <c r="F103" t="s">
        <v>899</v>
      </c>
      <c r="G103" s="173" t="s">
        <v>72</v>
      </c>
      <c r="H103" s="173" t="s">
        <v>71</v>
      </c>
      <c r="I103" s="173" t="s">
        <v>14</v>
      </c>
      <c r="J103" s="175" t="str">
        <f t="shared" si="5"/>
        <v>DoorNarrow Traditional 4482Miter 4482Neowalnut    7991-28</v>
      </c>
      <c r="K103" s="174" t="s">
        <v>931</v>
      </c>
    </row>
    <row r="104" spans="1:12" x14ac:dyDescent="0.35">
      <c r="A104" s="209" t="s">
        <v>1114</v>
      </c>
      <c r="B104" s="209" t="s">
        <v>193</v>
      </c>
      <c r="C104" t="s">
        <v>272</v>
      </c>
      <c r="D104" t="s">
        <v>889</v>
      </c>
      <c r="E104">
        <v>4482</v>
      </c>
      <c r="F104" t="s">
        <v>900</v>
      </c>
      <c r="G104" s="173" t="s">
        <v>72</v>
      </c>
      <c r="H104" s="173" t="s">
        <v>71</v>
      </c>
      <c r="I104" s="173" t="s">
        <v>14</v>
      </c>
      <c r="J104" s="175" t="str">
        <f t="shared" si="5"/>
        <v>DoorNarrow Traditional 4482Miter 4482Portico Teak    8210-28</v>
      </c>
      <c r="K104" s="174" t="s">
        <v>932</v>
      </c>
    </row>
    <row r="105" spans="1:12" x14ac:dyDescent="0.35">
      <c r="A105" s="209" t="s">
        <v>879</v>
      </c>
      <c r="B105" s="209" t="s">
        <v>198</v>
      </c>
      <c r="C105" t="s">
        <v>272</v>
      </c>
      <c r="D105" t="s">
        <v>890</v>
      </c>
      <c r="E105">
        <v>4482</v>
      </c>
      <c r="F105" t="s">
        <v>901</v>
      </c>
      <c r="G105" s="173" t="s">
        <v>72</v>
      </c>
      <c r="H105" s="173" t="s">
        <v>71</v>
      </c>
      <c r="I105" s="173" t="s">
        <v>14</v>
      </c>
      <c r="J105" s="175" t="str">
        <f t="shared" si="5"/>
        <v>DoorNarrow Traditional 4482Miter 4482Pepperdust    D327-60</v>
      </c>
      <c r="K105" s="174" t="s">
        <v>933</v>
      </c>
    </row>
    <row r="106" spans="1:12" x14ac:dyDescent="0.35">
      <c r="A106" s="209" t="s">
        <v>230</v>
      </c>
      <c r="B106" s="209" t="s">
        <v>165</v>
      </c>
      <c r="C106" t="s">
        <v>272</v>
      </c>
      <c r="D106" t="s">
        <v>231</v>
      </c>
      <c r="E106">
        <v>4482</v>
      </c>
      <c r="F106" s="173" t="s">
        <v>12</v>
      </c>
      <c r="G106" s="173" t="s">
        <v>72</v>
      </c>
      <c r="H106" s="173" t="s">
        <v>71</v>
      </c>
      <c r="I106" s="173" t="s">
        <v>14</v>
      </c>
      <c r="J106" s="175" t="str">
        <f t="shared" si="0"/>
        <v>DoorNarrow Traditional 4482Miter 4482Columbian Walnut  7943-07</v>
      </c>
      <c r="K106" s="174" t="s">
        <v>303</v>
      </c>
      <c r="L106" t="s">
        <v>302</v>
      </c>
    </row>
    <row r="107" spans="1:12" x14ac:dyDescent="0.35">
      <c r="A107" s="209" t="s">
        <v>234</v>
      </c>
      <c r="B107" s="209" t="s">
        <v>184</v>
      </c>
      <c r="C107" t="s">
        <v>272</v>
      </c>
      <c r="D107" t="s">
        <v>235</v>
      </c>
      <c r="E107">
        <v>4482</v>
      </c>
      <c r="F107" s="173" t="s">
        <v>131</v>
      </c>
      <c r="G107" s="173" t="s">
        <v>72</v>
      </c>
      <c r="H107" s="173" t="s">
        <v>71</v>
      </c>
      <c r="I107" s="173" t="s">
        <v>14</v>
      </c>
      <c r="J107" s="175" t="str">
        <f t="shared" si="0"/>
        <v>DoorNarrow Traditional 4482Miter 4482Florence Walnut    7993-38</v>
      </c>
      <c r="K107" s="174" t="s">
        <v>305</v>
      </c>
      <c r="L107" t="s">
        <v>304</v>
      </c>
    </row>
    <row r="108" spans="1:12" x14ac:dyDescent="0.35">
      <c r="A108" s="209" t="s">
        <v>164</v>
      </c>
      <c r="B108" s="209" t="s">
        <v>165</v>
      </c>
      <c r="C108" t="s">
        <v>272</v>
      </c>
      <c r="D108" t="s">
        <v>167</v>
      </c>
      <c r="E108">
        <v>4482</v>
      </c>
      <c r="F108" s="173" t="s">
        <v>132</v>
      </c>
      <c r="G108" s="173" t="s">
        <v>72</v>
      </c>
      <c r="H108" s="173" t="s">
        <v>71</v>
      </c>
      <c r="I108" s="173" t="s">
        <v>26</v>
      </c>
      <c r="J108" s="175" t="str">
        <f t="shared" si="0"/>
        <v>Drawer FrontNarrow Traditional 4482Miter 4482Shaker Cherry       7935-07</v>
      </c>
      <c r="K108" s="174" t="s">
        <v>307</v>
      </c>
      <c r="L108" t="s">
        <v>306</v>
      </c>
    </row>
    <row r="109" spans="1:12" x14ac:dyDescent="0.35">
      <c r="A109" s="209" t="s">
        <v>170</v>
      </c>
      <c r="B109" s="209" t="s">
        <v>165</v>
      </c>
      <c r="C109" t="s">
        <v>272</v>
      </c>
      <c r="D109" t="s">
        <v>171</v>
      </c>
      <c r="E109">
        <v>4482</v>
      </c>
      <c r="F109" s="173" t="s">
        <v>133</v>
      </c>
      <c r="G109" s="173" t="s">
        <v>72</v>
      </c>
      <c r="H109" s="173" t="s">
        <v>71</v>
      </c>
      <c r="I109" s="173" t="s">
        <v>26</v>
      </c>
      <c r="J109" s="175" t="str">
        <f t="shared" si="0"/>
        <v>Drawer FrontNarrow Traditional 4482Miter 4482Cafelle 7933-07</v>
      </c>
      <c r="K109" s="174" t="s">
        <v>309</v>
      </c>
      <c r="L109" t="s">
        <v>308</v>
      </c>
    </row>
    <row r="110" spans="1:12" x14ac:dyDescent="0.35">
      <c r="A110" s="209" t="s">
        <v>174</v>
      </c>
      <c r="B110" s="209" t="s">
        <v>175</v>
      </c>
      <c r="C110" t="s">
        <v>272</v>
      </c>
      <c r="D110" t="s">
        <v>176</v>
      </c>
      <c r="E110">
        <v>4482</v>
      </c>
      <c r="F110" s="173" t="s">
        <v>123</v>
      </c>
      <c r="G110" s="173" t="s">
        <v>72</v>
      </c>
      <c r="H110" s="173" t="s">
        <v>71</v>
      </c>
      <c r="I110" s="173" t="s">
        <v>26</v>
      </c>
      <c r="J110" s="175" t="str">
        <f t="shared" si="0"/>
        <v>Drawer FrontNarrow Traditional 4482Miter 4482White Driftwood      8200-16</v>
      </c>
      <c r="K110" s="174" t="s">
        <v>311</v>
      </c>
      <c r="L110" t="s">
        <v>310</v>
      </c>
    </row>
    <row r="111" spans="1:12" x14ac:dyDescent="0.35">
      <c r="A111" s="209" t="s">
        <v>179</v>
      </c>
      <c r="B111" s="209" t="s">
        <v>175</v>
      </c>
      <c r="C111" t="s">
        <v>272</v>
      </c>
      <c r="D111" t="s">
        <v>180</v>
      </c>
      <c r="E111">
        <v>4482</v>
      </c>
      <c r="F111" s="173" t="s">
        <v>124</v>
      </c>
      <c r="G111" s="173" t="s">
        <v>72</v>
      </c>
      <c r="H111" s="173" t="s">
        <v>71</v>
      </c>
      <c r="I111" s="173" t="s">
        <v>26</v>
      </c>
      <c r="J111" s="175" t="str">
        <f t="shared" si="0"/>
        <v>Drawer FrontNarrow Traditional 4482Miter 4482Weathered Char     8204-16</v>
      </c>
      <c r="K111" s="174" t="s">
        <v>313</v>
      </c>
      <c r="L111" t="s">
        <v>312</v>
      </c>
    </row>
    <row r="112" spans="1:12" x14ac:dyDescent="0.35">
      <c r="A112" s="209" t="s">
        <v>183</v>
      </c>
      <c r="B112" s="209" t="s">
        <v>184</v>
      </c>
      <c r="C112" t="s">
        <v>272</v>
      </c>
      <c r="D112" t="s">
        <v>185</v>
      </c>
      <c r="E112">
        <v>4482</v>
      </c>
      <c r="F112" s="173" t="s">
        <v>134</v>
      </c>
      <c r="G112" s="173" t="s">
        <v>72</v>
      </c>
      <c r="H112" s="173" t="s">
        <v>71</v>
      </c>
      <c r="I112" s="173" t="s">
        <v>26</v>
      </c>
      <c r="J112" s="175" t="str">
        <f t="shared" si="0"/>
        <v>Drawer FrontNarrow Traditional 4482Miter 4482Neowalnut 7991-38</v>
      </c>
      <c r="K112" s="174" t="s">
        <v>315</v>
      </c>
      <c r="L112" t="s">
        <v>314</v>
      </c>
    </row>
    <row r="113" spans="1:12" x14ac:dyDescent="0.35">
      <c r="A113" s="209" t="s">
        <v>188</v>
      </c>
      <c r="B113" s="209" t="s">
        <v>184</v>
      </c>
      <c r="C113" t="s">
        <v>272</v>
      </c>
      <c r="D113" t="s">
        <v>189</v>
      </c>
      <c r="E113">
        <v>4482</v>
      </c>
      <c r="F113" s="173" t="s">
        <v>135</v>
      </c>
      <c r="G113" s="173" t="s">
        <v>72</v>
      </c>
      <c r="H113" s="173" t="s">
        <v>71</v>
      </c>
      <c r="I113" s="173" t="s">
        <v>26</v>
      </c>
      <c r="J113" s="175" t="str">
        <f t="shared" si="0"/>
        <v>Drawer FrontNarrow Traditional 4482Miter 4482Ebony Recon        7997-38</v>
      </c>
      <c r="K113" s="174" t="s">
        <v>317</v>
      </c>
      <c r="L113" t="s">
        <v>316</v>
      </c>
    </row>
    <row r="114" spans="1:12" x14ac:dyDescent="0.35">
      <c r="A114" s="209" t="s">
        <v>192</v>
      </c>
      <c r="B114" s="209" t="s">
        <v>193</v>
      </c>
      <c r="C114" t="s">
        <v>272</v>
      </c>
      <c r="D114" t="s">
        <v>194</v>
      </c>
      <c r="E114">
        <v>4482</v>
      </c>
      <c r="F114" s="173" t="s">
        <v>36</v>
      </c>
      <c r="G114" s="173" t="s">
        <v>72</v>
      </c>
      <c r="H114" s="173" t="s">
        <v>71</v>
      </c>
      <c r="I114" s="173" t="s">
        <v>26</v>
      </c>
      <c r="J114" s="175" t="str">
        <f t="shared" si="0"/>
        <v>Drawer FrontNarrow Traditional 4482Miter 4482Phantom Charcoal  8214-28</v>
      </c>
      <c r="K114" s="174" t="s">
        <v>319</v>
      </c>
      <c r="L114" t="s">
        <v>318</v>
      </c>
    </row>
    <row r="115" spans="1:12" x14ac:dyDescent="0.35">
      <c r="A115" s="209" t="s">
        <v>197</v>
      </c>
      <c r="B115" s="209" t="s">
        <v>198</v>
      </c>
      <c r="C115" t="s">
        <v>272</v>
      </c>
      <c r="D115" t="s">
        <v>199</v>
      </c>
      <c r="E115">
        <v>4482</v>
      </c>
      <c r="F115" s="173" t="s">
        <v>11</v>
      </c>
      <c r="G115" s="173" t="s">
        <v>72</v>
      </c>
      <c r="H115" s="173" t="s">
        <v>71</v>
      </c>
      <c r="I115" s="173" t="s">
        <v>26</v>
      </c>
      <c r="J115" s="175" t="str">
        <f t="shared" si="0"/>
        <v>Drawer FrontNarrow Traditional 4482Miter 4482Linen  D427-60</v>
      </c>
      <c r="K115" s="174" t="s">
        <v>321</v>
      </c>
      <c r="L115" t="s">
        <v>320</v>
      </c>
    </row>
    <row r="116" spans="1:12" x14ac:dyDescent="0.35">
      <c r="A116" s="209" t="s">
        <v>202</v>
      </c>
      <c r="B116" s="209" t="s">
        <v>193</v>
      </c>
      <c r="C116" t="s">
        <v>272</v>
      </c>
      <c r="D116" t="s">
        <v>203</v>
      </c>
      <c r="E116">
        <v>4482</v>
      </c>
      <c r="F116" s="173" t="s">
        <v>136</v>
      </c>
      <c r="G116" s="173" t="s">
        <v>72</v>
      </c>
      <c r="H116" s="173" t="s">
        <v>71</v>
      </c>
      <c r="I116" s="173" t="s">
        <v>26</v>
      </c>
      <c r="J116" s="175" t="str">
        <f t="shared" si="0"/>
        <v>Drawer FrontNarrow Traditional 4482Miter 4482Phantom Pearl      8211-28</v>
      </c>
      <c r="K116" s="174" t="s">
        <v>323</v>
      </c>
      <c r="L116" t="s">
        <v>322</v>
      </c>
    </row>
    <row r="117" spans="1:12" x14ac:dyDescent="0.35">
      <c r="A117" s="209" t="s">
        <v>206</v>
      </c>
      <c r="B117" s="209" t="s">
        <v>193</v>
      </c>
      <c r="C117" t="s">
        <v>272</v>
      </c>
      <c r="D117" t="s">
        <v>207</v>
      </c>
      <c r="E117">
        <v>4482</v>
      </c>
      <c r="F117" s="173" t="s">
        <v>125</v>
      </c>
      <c r="G117" s="173" t="s">
        <v>72</v>
      </c>
      <c r="H117" s="173" t="s">
        <v>71</v>
      </c>
      <c r="I117" s="173" t="s">
        <v>26</v>
      </c>
      <c r="J117" s="175" t="str">
        <f t="shared" si="0"/>
        <v>Drawer FrontNarrow Traditional 4482Miter 4482Veranda Teak        8209-28</v>
      </c>
      <c r="K117" s="174" t="s">
        <v>325</v>
      </c>
      <c r="L117" t="s">
        <v>324</v>
      </c>
    </row>
    <row r="118" spans="1:12" x14ac:dyDescent="0.35">
      <c r="A118" s="209" t="s">
        <v>210</v>
      </c>
      <c r="B118" s="209" t="s">
        <v>175</v>
      </c>
      <c r="C118" t="s">
        <v>272</v>
      </c>
      <c r="D118" t="s">
        <v>211</v>
      </c>
      <c r="E118">
        <v>4482</v>
      </c>
      <c r="F118" s="173" t="s">
        <v>126</v>
      </c>
      <c r="G118" s="173" t="s">
        <v>72</v>
      </c>
      <c r="H118" s="173" t="s">
        <v>71</v>
      </c>
      <c r="I118" s="173" t="s">
        <v>26</v>
      </c>
      <c r="J118" s="175" t="str">
        <f t="shared" si="0"/>
        <v>Drawer FrontNarrow Traditional 4482Miter 4482Branded Oak         8207-16</v>
      </c>
      <c r="K118" s="174" t="s">
        <v>327</v>
      </c>
      <c r="L118" t="s">
        <v>326</v>
      </c>
    </row>
    <row r="119" spans="1:12" x14ac:dyDescent="0.35">
      <c r="A119" s="209" t="s">
        <v>214</v>
      </c>
      <c r="B119" s="209" t="s">
        <v>175</v>
      </c>
      <c r="C119" t="s">
        <v>272</v>
      </c>
      <c r="D119" t="s">
        <v>215</v>
      </c>
      <c r="E119">
        <v>4482</v>
      </c>
      <c r="F119" s="173" t="s">
        <v>127</v>
      </c>
      <c r="G119" s="173" t="s">
        <v>72</v>
      </c>
      <c r="H119" s="173" t="s">
        <v>71</v>
      </c>
      <c r="I119" s="173" t="s">
        <v>26</v>
      </c>
      <c r="J119" s="175" t="str">
        <f t="shared" si="0"/>
        <v>Drawer FrontNarrow Traditional 4482Miter 4482Saddle Oak           8206-16</v>
      </c>
      <c r="K119" s="174" t="s">
        <v>329</v>
      </c>
      <c r="L119" t="s">
        <v>328</v>
      </c>
    </row>
    <row r="120" spans="1:12" x14ac:dyDescent="0.35">
      <c r="A120" s="209" t="s">
        <v>218</v>
      </c>
      <c r="B120" s="209" t="s">
        <v>193</v>
      </c>
      <c r="C120" t="s">
        <v>272</v>
      </c>
      <c r="D120" t="s">
        <v>219</v>
      </c>
      <c r="E120">
        <v>4482</v>
      </c>
      <c r="F120" s="173" t="s">
        <v>129</v>
      </c>
      <c r="G120" s="173" t="s">
        <v>72</v>
      </c>
      <c r="H120" s="173" t="s">
        <v>71</v>
      </c>
      <c r="I120" s="173" t="s">
        <v>26</v>
      </c>
      <c r="J120" s="175" t="str">
        <f t="shared" si="0"/>
        <v>Drawer FrontNarrow Traditional 4482Miter 4482Phantom Ecru       8212-28</v>
      </c>
      <c r="K120" s="174" t="s">
        <v>331</v>
      </c>
      <c r="L120" t="s">
        <v>330</v>
      </c>
    </row>
    <row r="121" spans="1:12" x14ac:dyDescent="0.35">
      <c r="A121" s="209" t="s">
        <v>222</v>
      </c>
      <c r="B121" s="209" t="s">
        <v>175</v>
      </c>
      <c r="C121" t="s">
        <v>272</v>
      </c>
      <c r="D121" t="s">
        <v>223</v>
      </c>
      <c r="E121">
        <v>4482</v>
      </c>
      <c r="F121" s="173" t="s">
        <v>128</v>
      </c>
      <c r="G121" s="173" t="s">
        <v>72</v>
      </c>
      <c r="H121" s="173" t="s">
        <v>71</v>
      </c>
      <c r="I121" s="173" t="s">
        <v>26</v>
      </c>
      <c r="J121" s="175" t="str">
        <f t="shared" ref="J121:J256" si="6">CONCATENATE(I121,G121,H121,F121)</f>
        <v>Drawer FrontNarrow Traditional 4482Miter 4482Fawn Cypress       8208-16</v>
      </c>
      <c r="K121" s="174" t="s">
        <v>333</v>
      </c>
      <c r="L121" t="s">
        <v>332</v>
      </c>
    </row>
    <row r="122" spans="1:12" x14ac:dyDescent="0.35">
      <c r="A122" s="209" t="s">
        <v>226</v>
      </c>
      <c r="B122" s="209" t="s">
        <v>184</v>
      </c>
      <c r="C122" t="s">
        <v>272</v>
      </c>
      <c r="D122" t="s">
        <v>227</v>
      </c>
      <c r="E122">
        <v>4482</v>
      </c>
      <c r="F122" s="173" t="s">
        <v>130</v>
      </c>
      <c r="G122" s="173" t="s">
        <v>72</v>
      </c>
      <c r="H122" s="173" t="s">
        <v>71</v>
      </c>
      <c r="I122" s="173" t="s">
        <v>26</v>
      </c>
      <c r="J122" s="175" t="str">
        <f t="shared" si="6"/>
        <v>Drawer FrontNarrow Traditional 4482Miter 4482River Cherry          7937-38</v>
      </c>
      <c r="K122" s="174" t="s">
        <v>335</v>
      </c>
      <c r="L122" t="s">
        <v>334</v>
      </c>
    </row>
    <row r="123" spans="1:12" x14ac:dyDescent="0.35">
      <c r="A123" s="209" t="s">
        <v>1183</v>
      </c>
      <c r="B123" s="209" t="s">
        <v>1184</v>
      </c>
      <c r="C123" t="s">
        <v>272</v>
      </c>
      <c r="D123" s="210" t="s">
        <v>1185</v>
      </c>
      <c r="E123">
        <v>4482</v>
      </c>
      <c r="F123" t="s">
        <v>1201</v>
      </c>
      <c r="G123" s="173" t="s">
        <v>72</v>
      </c>
      <c r="H123" s="173" t="s">
        <v>71</v>
      </c>
      <c r="I123" s="173" t="s">
        <v>26</v>
      </c>
      <c r="J123" s="175" t="str">
        <f t="shared" si="6"/>
        <v>Drawer FrontNarrow Traditional 4482Miter 4482Akira                     8233-05</v>
      </c>
      <c r="K123" s="174" t="s">
        <v>1226</v>
      </c>
    </row>
    <row r="124" spans="1:12" x14ac:dyDescent="0.35">
      <c r="A124" s="209" t="s">
        <v>1186</v>
      </c>
      <c r="B124" s="209" t="s">
        <v>1184</v>
      </c>
      <c r="C124" t="s">
        <v>272</v>
      </c>
      <c r="D124" s="210" t="s">
        <v>1187</v>
      </c>
      <c r="E124">
        <v>4482</v>
      </c>
      <c r="F124" t="s">
        <v>1200</v>
      </c>
      <c r="G124" s="173" t="s">
        <v>72</v>
      </c>
      <c r="H124" s="173" t="s">
        <v>71</v>
      </c>
      <c r="I124" s="173" t="s">
        <v>26</v>
      </c>
      <c r="J124" s="175" t="str">
        <f t="shared" si="6"/>
        <v>Drawer FrontNarrow Traditional 4482Miter 4482Belair                    8234-05</v>
      </c>
      <c r="K124" s="174" t="s">
        <v>1227</v>
      </c>
    </row>
    <row r="125" spans="1:12" x14ac:dyDescent="0.35">
      <c r="A125" s="209" t="s">
        <v>1188</v>
      </c>
      <c r="B125" s="209" t="s">
        <v>1184</v>
      </c>
      <c r="C125" t="s">
        <v>272</v>
      </c>
      <c r="D125" s="210" t="s">
        <v>1189</v>
      </c>
      <c r="E125">
        <v>4482</v>
      </c>
      <c r="F125" t="s">
        <v>1198</v>
      </c>
      <c r="G125" s="173" t="s">
        <v>72</v>
      </c>
      <c r="H125" s="173" t="s">
        <v>71</v>
      </c>
      <c r="I125" s="173" t="s">
        <v>26</v>
      </c>
      <c r="J125" s="175" t="str">
        <f t="shared" ref="J125:J129" si="7">CONCATENATE(I125,G125,H125,F125)</f>
        <v>Drawer FrontNarrow Traditional 4482Miter 4482Daintree               8235-05</v>
      </c>
      <c r="K125" s="174" t="s">
        <v>1228</v>
      </c>
    </row>
    <row r="126" spans="1:12" x14ac:dyDescent="0.35">
      <c r="A126" s="209" t="s">
        <v>1190</v>
      </c>
      <c r="B126" s="209" t="s">
        <v>1184</v>
      </c>
      <c r="C126" t="s">
        <v>272</v>
      </c>
      <c r="D126" s="210" t="s">
        <v>1191</v>
      </c>
      <c r="E126">
        <v>4482</v>
      </c>
      <c r="F126" t="s">
        <v>1199</v>
      </c>
      <c r="G126" s="173" t="s">
        <v>72</v>
      </c>
      <c r="H126" s="173" t="s">
        <v>71</v>
      </c>
      <c r="I126" s="173" t="s">
        <v>26</v>
      </c>
      <c r="J126" s="175" t="str">
        <f t="shared" si="7"/>
        <v>Drawer FrontNarrow Traditional 4482Miter 4482Monteverdi          8236-05</v>
      </c>
      <c r="K126" s="174" t="s">
        <v>1229</v>
      </c>
    </row>
    <row r="127" spans="1:12" x14ac:dyDescent="0.35">
      <c r="A127" s="209" t="s">
        <v>1192</v>
      </c>
      <c r="B127" s="209" t="s">
        <v>1184</v>
      </c>
      <c r="C127" t="s">
        <v>272</v>
      </c>
      <c r="D127" s="210" t="s">
        <v>1193</v>
      </c>
      <c r="E127">
        <v>4482</v>
      </c>
      <c r="F127" t="s">
        <v>1202</v>
      </c>
      <c r="G127" s="173" t="s">
        <v>72</v>
      </c>
      <c r="H127" s="173" t="s">
        <v>71</v>
      </c>
      <c r="I127" s="173" t="s">
        <v>26</v>
      </c>
      <c r="J127" s="175" t="str">
        <f t="shared" si="7"/>
        <v>Drawer FrontNarrow Traditional 4482Miter 4482Great Bear           8237-05</v>
      </c>
      <c r="K127" s="174" t="s">
        <v>1230</v>
      </c>
    </row>
    <row r="128" spans="1:12" x14ac:dyDescent="0.35">
      <c r="A128" s="209" t="s">
        <v>1194</v>
      </c>
      <c r="B128" s="209" t="s">
        <v>1184</v>
      </c>
      <c r="C128" t="s">
        <v>272</v>
      </c>
      <c r="D128" s="210" t="s">
        <v>1195</v>
      </c>
      <c r="E128">
        <v>4482</v>
      </c>
      <c r="F128" t="s">
        <v>1203</v>
      </c>
      <c r="G128" s="173" t="s">
        <v>72</v>
      </c>
      <c r="H128" s="173" t="s">
        <v>71</v>
      </c>
      <c r="I128" s="173" t="s">
        <v>26</v>
      </c>
      <c r="J128" s="175" t="str">
        <f t="shared" si="7"/>
        <v>Drawer FrontNarrow Traditional 4482Miter 4482Fairchild               8238-05</v>
      </c>
      <c r="K128" s="174" t="s">
        <v>1231</v>
      </c>
    </row>
    <row r="129" spans="1:12" x14ac:dyDescent="0.35">
      <c r="A129" s="209" t="s">
        <v>1196</v>
      </c>
      <c r="B129" s="209" t="s">
        <v>198</v>
      </c>
      <c r="C129" t="s">
        <v>272</v>
      </c>
      <c r="D129" s="210" t="s">
        <v>1197</v>
      </c>
      <c r="E129">
        <v>4482</v>
      </c>
      <c r="F129" t="s">
        <v>1204</v>
      </c>
      <c r="G129" s="173" t="s">
        <v>72</v>
      </c>
      <c r="H129" s="173" t="s">
        <v>71</v>
      </c>
      <c r="I129" s="173" t="s">
        <v>26</v>
      </c>
      <c r="J129" s="175" t="str">
        <f t="shared" si="7"/>
        <v>Drawer FrontNarrow Traditional 4482Miter 4482Indigo                   D379-60</v>
      </c>
      <c r="K129" s="174" t="s">
        <v>1232</v>
      </c>
    </row>
    <row r="130" spans="1:12" x14ac:dyDescent="0.35">
      <c r="A130" s="209" t="s">
        <v>1106</v>
      </c>
      <c r="B130" s="209" t="s">
        <v>1115</v>
      </c>
      <c r="C130" t="s">
        <v>272</v>
      </c>
      <c r="D130" t="s">
        <v>880</v>
      </c>
      <c r="E130">
        <v>4482</v>
      </c>
      <c r="F130" t="s">
        <v>891</v>
      </c>
      <c r="G130" s="173" t="s">
        <v>72</v>
      </c>
      <c r="H130" s="173" t="s">
        <v>71</v>
      </c>
      <c r="I130" s="173" t="s">
        <v>26</v>
      </c>
      <c r="J130" s="175" t="str">
        <f t="shared" ref="J130:J140" si="8">CONCATENATE(I130,G130,H130,F130)</f>
        <v>Drawer FrontNarrow Traditional 4482Miter 4482White Cypress    7976-79</v>
      </c>
      <c r="K130" s="174" t="s">
        <v>934</v>
      </c>
    </row>
    <row r="131" spans="1:12" x14ac:dyDescent="0.35">
      <c r="A131" s="209" t="s">
        <v>1107</v>
      </c>
      <c r="B131" s="209" t="s">
        <v>1115</v>
      </c>
      <c r="C131" t="s">
        <v>272</v>
      </c>
      <c r="D131" t="s">
        <v>881</v>
      </c>
      <c r="E131">
        <v>4482</v>
      </c>
      <c r="F131" t="s">
        <v>892</v>
      </c>
      <c r="G131" s="173" t="s">
        <v>72</v>
      </c>
      <c r="H131" s="173" t="s">
        <v>71</v>
      </c>
      <c r="I131" s="173" t="s">
        <v>26</v>
      </c>
      <c r="J131" s="175" t="str">
        <f t="shared" si="8"/>
        <v>Drawer FrontNarrow Traditional 4482Miter 4482Randolph Forest    8225-79</v>
      </c>
      <c r="K131" s="174" t="s">
        <v>935</v>
      </c>
    </row>
    <row r="132" spans="1:12" x14ac:dyDescent="0.35">
      <c r="A132" s="209" t="s">
        <v>1108</v>
      </c>
      <c r="B132" s="209" t="s">
        <v>1115</v>
      </c>
      <c r="C132" t="s">
        <v>272</v>
      </c>
      <c r="D132" t="s">
        <v>882</v>
      </c>
      <c r="E132">
        <v>4482</v>
      </c>
      <c r="F132" t="s">
        <v>893</v>
      </c>
      <c r="G132" s="173" t="s">
        <v>72</v>
      </c>
      <c r="H132" s="173" t="s">
        <v>71</v>
      </c>
      <c r="I132" s="173" t="s">
        <v>26</v>
      </c>
      <c r="J132" s="175" t="str">
        <f t="shared" si="8"/>
        <v>Drawer FrontNarrow Traditional 4482Miter 4482Dering Forest    8226-79</v>
      </c>
      <c r="K132" s="174" t="s">
        <v>936</v>
      </c>
    </row>
    <row r="133" spans="1:12" x14ac:dyDescent="0.35">
      <c r="A133" s="209" t="s">
        <v>1109</v>
      </c>
      <c r="B133" s="209" t="s">
        <v>1115</v>
      </c>
      <c r="C133" t="s">
        <v>272</v>
      </c>
      <c r="D133" t="s">
        <v>883</v>
      </c>
      <c r="E133">
        <v>4482</v>
      </c>
      <c r="F133" t="s">
        <v>894</v>
      </c>
      <c r="G133" s="173" t="s">
        <v>72</v>
      </c>
      <c r="H133" s="173" t="s">
        <v>71</v>
      </c>
      <c r="I133" s="173" t="s">
        <v>26</v>
      </c>
      <c r="J133" s="175" t="str">
        <f t="shared" si="8"/>
        <v>Drawer FrontNarrow Traditional 4482Miter 4482White River Forest    8227-79</v>
      </c>
      <c r="K133" s="174" t="s">
        <v>937</v>
      </c>
    </row>
    <row r="134" spans="1:12" x14ac:dyDescent="0.35">
      <c r="A134" s="209" t="s">
        <v>1110</v>
      </c>
      <c r="B134" s="209" t="s">
        <v>1115</v>
      </c>
      <c r="C134" t="s">
        <v>272</v>
      </c>
      <c r="D134" t="s">
        <v>884</v>
      </c>
      <c r="E134">
        <v>4482</v>
      </c>
      <c r="F134" t="s">
        <v>895</v>
      </c>
      <c r="G134" s="173" t="s">
        <v>72</v>
      </c>
      <c r="H134" s="173" t="s">
        <v>71</v>
      </c>
      <c r="I134" s="173" t="s">
        <v>26</v>
      </c>
      <c r="J134" s="175" t="str">
        <f t="shared" si="8"/>
        <v>Drawer FrontNarrow Traditional 4482Miter 4482Avondale Ash    8228-79</v>
      </c>
      <c r="K134" s="174" t="s">
        <v>938</v>
      </c>
    </row>
    <row r="135" spans="1:12" x14ac:dyDescent="0.35">
      <c r="A135" s="209" t="s">
        <v>1111</v>
      </c>
      <c r="B135" s="209" t="s">
        <v>1115</v>
      </c>
      <c r="C135" t="s">
        <v>272</v>
      </c>
      <c r="D135" t="s">
        <v>885</v>
      </c>
      <c r="E135">
        <v>4482</v>
      </c>
      <c r="F135" t="s">
        <v>896</v>
      </c>
      <c r="G135" s="173" t="s">
        <v>72</v>
      </c>
      <c r="H135" s="173" t="s">
        <v>71</v>
      </c>
      <c r="I135" s="173" t="s">
        <v>26</v>
      </c>
      <c r="J135" s="175" t="str">
        <f t="shared" si="8"/>
        <v>Drawer FrontNarrow Traditional 4482Miter 4482Friston Ash    8229-79</v>
      </c>
      <c r="K135" s="174" t="s">
        <v>939</v>
      </c>
    </row>
    <row r="136" spans="1:12" x14ac:dyDescent="0.35">
      <c r="A136" s="209" t="s">
        <v>1112</v>
      </c>
      <c r="B136" s="209" t="s">
        <v>1115</v>
      </c>
      <c r="C136" t="s">
        <v>272</v>
      </c>
      <c r="D136" t="s">
        <v>886</v>
      </c>
      <c r="E136">
        <v>4482</v>
      </c>
      <c r="F136" t="s">
        <v>897</v>
      </c>
      <c r="G136" s="173" t="s">
        <v>72</v>
      </c>
      <c r="H136" s="173" t="s">
        <v>71</v>
      </c>
      <c r="I136" s="173" t="s">
        <v>26</v>
      </c>
      <c r="J136" s="175" t="str">
        <f t="shared" si="8"/>
        <v>Drawer FrontNarrow Traditional 4482Miter 4482Valley Forge Elm    8231-79</v>
      </c>
      <c r="K136" s="174" t="s">
        <v>940</v>
      </c>
    </row>
    <row r="137" spans="1:12" x14ac:dyDescent="0.35">
      <c r="A137" s="209" t="s">
        <v>1113</v>
      </c>
      <c r="B137" s="209" t="s">
        <v>193</v>
      </c>
      <c r="C137" t="s">
        <v>272</v>
      </c>
      <c r="D137" t="s">
        <v>887</v>
      </c>
      <c r="E137">
        <v>4482</v>
      </c>
      <c r="F137" t="s">
        <v>898</v>
      </c>
      <c r="G137" s="173" t="s">
        <v>72</v>
      </c>
      <c r="H137" s="173" t="s">
        <v>71</v>
      </c>
      <c r="I137" s="173" t="s">
        <v>26</v>
      </c>
      <c r="J137" s="175" t="str">
        <f t="shared" si="8"/>
        <v>Drawer FrontNarrow Traditional 4482Miter 4482High Line    7970-28</v>
      </c>
      <c r="K137" s="174" t="s">
        <v>941</v>
      </c>
    </row>
    <row r="138" spans="1:12" x14ac:dyDescent="0.35">
      <c r="A138" s="209" t="s">
        <v>183</v>
      </c>
      <c r="B138" s="209" t="s">
        <v>193</v>
      </c>
      <c r="C138" t="s">
        <v>272</v>
      </c>
      <c r="D138" t="s">
        <v>888</v>
      </c>
      <c r="E138">
        <v>4482</v>
      </c>
      <c r="F138" t="s">
        <v>899</v>
      </c>
      <c r="G138" s="173" t="s">
        <v>72</v>
      </c>
      <c r="H138" s="173" t="s">
        <v>71</v>
      </c>
      <c r="I138" s="173" t="s">
        <v>26</v>
      </c>
      <c r="J138" s="175" t="str">
        <f t="shared" si="8"/>
        <v>Drawer FrontNarrow Traditional 4482Miter 4482Neowalnut    7991-28</v>
      </c>
      <c r="K138" s="174" t="s">
        <v>942</v>
      </c>
    </row>
    <row r="139" spans="1:12" x14ac:dyDescent="0.35">
      <c r="A139" s="209" t="s">
        <v>1114</v>
      </c>
      <c r="B139" s="209" t="s">
        <v>193</v>
      </c>
      <c r="C139" t="s">
        <v>272</v>
      </c>
      <c r="D139" t="s">
        <v>889</v>
      </c>
      <c r="E139">
        <v>4482</v>
      </c>
      <c r="F139" t="s">
        <v>900</v>
      </c>
      <c r="G139" s="173" t="s">
        <v>72</v>
      </c>
      <c r="H139" s="173" t="s">
        <v>71</v>
      </c>
      <c r="I139" s="173" t="s">
        <v>26</v>
      </c>
      <c r="J139" s="175" t="str">
        <f t="shared" si="8"/>
        <v>Drawer FrontNarrow Traditional 4482Miter 4482Portico Teak    8210-28</v>
      </c>
      <c r="K139" s="174" t="s">
        <v>943</v>
      </c>
    </row>
    <row r="140" spans="1:12" x14ac:dyDescent="0.35">
      <c r="A140" s="209" t="s">
        <v>879</v>
      </c>
      <c r="B140" s="209" t="s">
        <v>198</v>
      </c>
      <c r="C140" t="s">
        <v>272</v>
      </c>
      <c r="D140" t="s">
        <v>890</v>
      </c>
      <c r="E140">
        <v>4482</v>
      </c>
      <c r="F140" t="s">
        <v>901</v>
      </c>
      <c r="G140" s="173" t="s">
        <v>72</v>
      </c>
      <c r="H140" s="173" t="s">
        <v>71</v>
      </c>
      <c r="I140" s="173" t="s">
        <v>26</v>
      </c>
      <c r="J140" s="175" t="str">
        <f t="shared" si="8"/>
        <v>Drawer FrontNarrow Traditional 4482Miter 4482Pepperdust    D327-60</v>
      </c>
      <c r="K140" s="174" t="s">
        <v>944</v>
      </c>
    </row>
    <row r="141" spans="1:12" x14ac:dyDescent="0.35">
      <c r="A141" s="209" t="s">
        <v>230</v>
      </c>
      <c r="B141" s="209" t="s">
        <v>165</v>
      </c>
      <c r="C141" t="s">
        <v>272</v>
      </c>
      <c r="D141" t="s">
        <v>231</v>
      </c>
      <c r="E141">
        <v>4482</v>
      </c>
      <c r="F141" s="173" t="s">
        <v>12</v>
      </c>
      <c r="G141" s="173" t="s">
        <v>72</v>
      </c>
      <c r="H141" s="173" t="s">
        <v>71</v>
      </c>
      <c r="I141" s="173" t="s">
        <v>26</v>
      </c>
      <c r="J141" s="175" t="str">
        <f t="shared" si="6"/>
        <v>Drawer FrontNarrow Traditional 4482Miter 4482Columbian Walnut  7943-07</v>
      </c>
      <c r="K141" s="174" t="s">
        <v>337</v>
      </c>
      <c r="L141" t="s">
        <v>336</v>
      </c>
    </row>
    <row r="142" spans="1:12" x14ac:dyDescent="0.35">
      <c r="A142" s="209" t="s">
        <v>234</v>
      </c>
      <c r="B142" s="209" t="s">
        <v>184</v>
      </c>
      <c r="C142" t="s">
        <v>272</v>
      </c>
      <c r="D142" t="s">
        <v>235</v>
      </c>
      <c r="E142">
        <v>4482</v>
      </c>
      <c r="F142" s="173" t="s">
        <v>131</v>
      </c>
      <c r="G142" s="173" t="s">
        <v>72</v>
      </c>
      <c r="H142" s="173" t="s">
        <v>71</v>
      </c>
      <c r="I142" s="173" t="s">
        <v>26</v>
      </c>
      <c r="J142" s="175" t="str">
        <f t="shared" si="6"/>
        <v>Drawer FrontNarrow Traditional 4482Miter 4482Florence Walnut    7993-38</v>
      </c>
      <c r="K142" s="174" t="s">
        <v>339</v>
      </c>
      <c r="L142" t="s">
        <v>338</v>
      </c>
    </row>
    <row r="143" spans="1:12" x14ac:dyDescent="0.35">
      <c r="A143" s="209" t="s">
        <v>164</v>
      </c>
      <c r="B143" s="209" t="s">
        <v>165</v>
      </c>
      <c r="C143" t="s">
        <v>166</v>
      </c>
      <c r="D143" t="s">
        <v>167</v>
      </c>
      <c r="E143">
        <v>4544</v>
      </c>
      <c r="F143" s="173" t="s">
        <v>132</v>
      </c>
      <c r="G143" s="173" t="s">
        <v>74</v>
      </c>
      <c r="H143" s="173" t="s">
        <v>64</v>
      </c>
      <c r="I143" s="173" t="s">
        <v>14</v>
      </c>
      <c r="J143" s="175" t="str">
        <f t="shared" si="6"/>
        <v>DoorWide Traditional 4544Shaker 4544Shaker Cherry       7935-07</v>
      </c>
      <c r="K143" s="174" t="s">
        <v>341</v>
      </c>
      <c r="L143" t="s">
        <v>340</v>
      </c>
    </row>
    <row r="144" spans="1:12" x14ac:dyDescent="0.35">
      <c r="A144" s="209" t="s">
        <v>170</v>
      </c>
      <c r="B144" s="209" t="s">
        <v>165</v>
      </c>
      <c r="C144" t="s">
        <v>166</v>
      </c>
      <c r="D144" t="s">
        <v>171</v>
      </c>
      <c r="E144">
        <v>4544</v>
      </c>
      <c r="F144" s="173" t="s">
        <v>133</v>
      </c>
      <c r="G144" s="173" t="s">
        <v>74</v>
      </c>
      <c r="H144" s="173" t="s">
        <v>64</v>
      </c>
      <c r="I144" s="173" t="s">
        <v>14</v>
      </c>
      <c r="J144" s="175" t="str">
        <f t="shared" si="6"/>
        <v>DoorWide Traditional 4544Shaker 4544Cafelle 7933-07</v>
      </c>
      <c r="K144" s="174" t="s">
        <v>343</v>
      </c>
      <c r="L144" t="s">
        <v>342</v>
      </c>
    </row>
    <row r="145" spans="1:12" x14ac:dyDescent="0.35">
      <c r="A145" s="209" t="s">
        <v>174</v>
      </c>
      <c r="B145" s="209" t="s">
        <v>175</v>
      </c>
      <c r="C145" t="s">
        <v>166</v>
      </c>
      <c r="D145" t="s">
        <v>176</v>
      </c>
      <c r="E145">
        <v>4544</v>
      </c>
      <c r="F145" s="173" t="s">
        <v>123</v>
      </c>
      <c r="G145" s="173" t="s">
        <v>74</v>
      </c>
      <c r="H145" s="173" t="s">
        <v>64</v>
      </c>
      <c r="I145" s="173" t="s">
        <v>14</v>
      </c>
      <c r="J145" s="175" t="str">
        <f t="shared" si="6"/>
        <v>DoorWide Traditional 4544Shaker 4544White Driftwood      8200-16</v>
      </c>
      <c r="K145" s="174" t="s">
        <v>345</v>
      </c>
      <c r="L145" t="s">
        <v>344</v>
      </c>
    </row>
    <row r="146" spans="1:12" x14ac:dyDescent="0.35">
      <c r="A146" s="209" t="s">
        <v>179</v>
      </c>
      <c r="B146" s="209" t="s">
        <v>175</v>
      </c>
      <c r="C146" t="s">
        <v>166</v>
      </c>
      <c r="D146" t="s">
        <v>180</v>
      </c>
      <c r="E146">
        <v>4544</v>
      </c>
      <c r="F146" s="173" t="s">
        <v>124</v>
      </c>
      <c r="G146" s="173" t="s">
        <v>74</v>
      </c>
      <c r="H146" s="173" t="s">
        <v>64</v>
      </c>
      <c r="I146" s="173" t="s">
        <v>14</v>
      </c>
      <c r="J146" s="175" t="str">
        <f t="shared" si="6"/>
        <v>DoorWide Traditional 4544Shaker 4544Weathered Char     8204-16</v>
      </c>
      <c r="K146" s="174" t="s">
        <v>347</v>
      </c>
      <c r="L146" t="s">
        <v>346</v>
      </c>
    </row>
    <row r="147" spans="1:12" x14ac:dyDescent="0.35">
      <c r="A147" s="209" t="s">
        <v>183</v>
      </c>
      <c r="B147" s="209" t="s">
        <v>184</v>
      </c>
      <c r="C147" t="s">
        <v>166</v>
      </c>
      <c r="D147" t="s">
        <v>185</v>
      </c>
      <c r="E147">
        <v>4544</v>
      </c>
      <c r="F147" s="173" t="s">
        <v>134</v>
      </c>
      <c r="G147" s="173" t="s">
        <v>74</v>
      </c>
      <c r="H147" s="173" t="s">
        <v>64</v>
      </c>
      <c r="I147" s="173" t="s">
        <v>14</v>
      </c>
      <c r="J147" s="175" t="str">
        <f t="shared" si="6"/>
        <v>DoorWide Traditional 4544Shaker 4544Neowalnut 7991-38</v>
      </c>
      <c r="K147" s="174" t="s">
        <v>349</v>
      </c>
      <c r="L147" t="s">
        <v>348</v>
      </c>
    </row>
    <row r="148" spans="1:12" x14ac:dyDescent="0.35">
      <c r="A148" s="209" t="s">
        <v>188</v>
      </c>
      <c r="B148" s="209" t="s">
        <v>184</v>
      </c>
      <c r="C148" t="s">
        <v>166</v>
      </c>
      <c r="D148" t="s">
        <v>189</v>
      </c>
      <c r="E148">
        <v>4544</v>
      </c>
      <c r="F148" s="173" t="s">
        <v>135</v>
      </c>
      <c r="G148" s="173" t="s">
        <v>74</v>
      </c>
      <c r="H148" s="173" t="s">
        <v>64</v>
      </c>
      <c r="I148" s="173" t="s">
        <v>14</v>
      </c>
      <c r="J148" s="175" t="str">
        <f t="shared" si="6"/>
        <v>DoorWide Traditional 4544Shaker 4544Ebony Recon        7997-38</v>
      </c>
      <c r="K148" s="174" t="s">
        <v>351</v>
      </c>
      <c r="L148" t="s">
        <v>350</v>
      </c>
    </row>
    <row r="149" spans="1:12" x14ac:dyDescent="0.35">
      <c r="A149" s="209" t="s">
        <v>192</v>
      </c>
      <c r="B149" s="209" t="s">
        <v>193</v>
      </c>
      <c r="C149" t="s">
        <v>166</v>
      </c>
      <c r="D149" t="s">
        <v>194</v>
      </c>
      <c r="E149">
        <v>4544</v>
      </c>
      <c r="F149" s="173" t="s">
        <v>36</v>
      </c>
      <c r="G149" s="173" t="s">
        <v>74</v>
      </c>
      <c r="H149" s="173" t="s">
        <v>64</v>
      </c>
      <c r="I149" s="173" t="s">
        <v>14</v>
      </c>
      <c r="J149" s="175" t="str">
        <f t="shared" si="6"/>
        <v>DoorWide Traditional 4544Shaker 4544Phantom Charcoal  8214-28</v>
      </c>
      <c r="K149" s="174" t="s">
        <v>353</v>
      </c>
      <c r="L149" t="s">
        <v>352</v>
      </c>
    </row>
    <row r="150" spans="1:12" x14ac:dyDescent="0.35">
      <c r="A150" s="209" t="s">
        <v>197</v>
      </c>
      <c r="B150" s="209" t="s">
        <v>198</v>
      </c>
      <c r="C150" t="s">
        <v>166</v>
      </c>
      <c r="D150" t="s">
        <v>199</v>
      </c>
      <c r="E150">
        <v>4544</v>
      </c>
      <c r="F150" s="173" t="s">
        <v>11</v>
      </c>
      <c r="G150" s="173" t="s">
        <v>74</v>
      </c>
      <c r="H150" s="173" t="s">
        <v>64</v>
      </c>
      <c r="I150" s="173" t="s">
        <v>14</v>
      </c>
      <c r="J150" s="175" t="str">
        <f t="shared" si="6"/>
        <v>DoorWide Traditional 4544Shaker 4544Linen  D427-60</v>
      </c>
      <c r="K150" s="174" t="s">
        <v>355</v>
      </c>
      <c r="L150" t="s">
        <v>354</v>
      </c>
    </row>
    <row r="151" spans="1:12" x14ac:dyDescent="0.35">
      <c r="A151" s="209" t="s">
        <v>202</v>
      </c>
      <c r="B151" s="209" t="s">
        <v>193</v>
      </c>
      <c r="C151" t="s">
        <v>166</v>
      </c>
      <c r="D151" t="s">
        <v>203</v>
      </c>
      <c r="E151">
        <v>4544</v>
      </c>
      <c r="F151" s="173" t="s">
        <v>136</v>
      </c>
      <c r="G151" s="173" t="s">
        <v>74</v>
      </c>
      <c r="H151" s="173" t="s">
        <v>64</v>
      </c>
      <c r="I151" s="173" t="s">
        <v>14</v>
      </c>
      <c r="J151" s="175" t="str">
        <f t="shared" si="6"/>
        <v>DoorWide Traditional 4544Shaker 4544Phantom Pearl      8211-28</v>
      </c>
      <c r="K151" s="174" t="s">
        <v>357</v>
      </c>
      <c r="L151" t="s">
        <v>356</v>
      </c>
    </row>
    <row r="152" spans="1:12" x14ac:dyDescent="0.35">
      <c r="A152" s="209" t="s">
        <v>206</v>
      </c>
      <c r="B152" s="209" t="s">
        <v>193</v>
      </c>
      <c r="C152" t="s">
        <v>166</v>
      </c>
      <c r="D152" t="s">
        <v>207</v>
      </c>
      <c r="E152">
        <v>4544</v>
      </c>
      <c r="F152" s="173" t="s">
        <v>125</v>
      </c>
      <c r="G152" s="173" t="s">
        <v>74</v>
      </c>
      <c r="H152" s="173" t="s">
        <v>64</v>
      </c>
      <c r="I152" s="173" t="s">
        <v>14</v>
      </c>
      <c r="J152" s="175" t="str">
        <f t="shared" si="6"/>
        <v>DoorWide Traditional 4544Shaker 4544Veranda Teak        8209-28</v>
      </c>
      <c r="K152" s="174" t="s">
        <v>359</v>
      </c>
      <c r="L152" t="s">
        <v>358</v>
      </c>
    </row>
    <row r="153" spans="1:12" x14ac:dyDescent="0.35">
      <c r="A153" s="209" t="s">
        <v>210</v>
      </c>
      <c r="B153" s="209" t="s">
        <v>175</v>
      </c>
      <c r="C153" t="s">
        <v>166</v>
      </c>
      <c r="D153" t="s">
        <v>211</v>
      </c>
      <c r="E153">
        <v>4544</v>
      </c>
      <c r="F153" s="173" t="s">
        <v>126</v>
      </c>
      <c r="G153" s="173" t="s">
        <v>74</v>
      </c>
      <c r="H153" s="173" t="s">
        <v>64</v>
      </c>
      <c r="I153" s="173" t="s">
        <v>14</v>
      </c>
      <c r="J153" s="175" t="str">
        <f t="shared" si="6"/>
        <v>DoorWide Traditional 4544Shaker 4544Branded Oak         8207-16</v>
      </c>
      <c r="K153" s="174" t="s">
        <v>361</v>
      </c>
      <c r="L153" t="s">
        <v>360</v>
      </c>
    </row>
    <row r="154" spans="1:12" x14ac:dyDescent="0.35">
      <c r="A154" s="209" t="s">
        <v>214</v>
      </c>
      <c r="B154" s="209" t="s">
        <v>175</v>
      </c>
      <c r="C154" t="s">
        <v>166</v>
      </c>
      <c r="D154" t="s">
        <v>215</v>
      </c>
      <c r="E154">
        <v>4544</v>
      </c>
      <c r="F154" s="173" t="s">
        <v>127</v>
      </c>
      <c r="G154" s="173" t="s">
        <v>74</v>
      </c>
      <c r="H154" s="173" t="s">
        <v>64</v>
      </c>
      <c r="I154" s="173" t="s">
        <v>14</v>
      </c>
      <c r="J154" s="175" t="str">
        <f t="shared" si="6"/>
        <v>DoorWide Traditional 4544Shaker 4544Saddle Oak           8206-16</v>
      </c>
      <c r="K154" s="174" t="s">
        <v>363</v>
      </c>
      <c r="L154" t="s">
        <v>362</v>
      </c>
    </row>
    <row r="155" spans="1:12" x14ac:dyDescent="0.35">
      <c r="A155" s="209" t="s">
        <v>218</v>
      </c>
      <c r="B155" s="209" t="s">
        <v>193</v>
      </c>
      <c r="C155" t="s">
        <v>166</v>
      </c>
      <c r="D155" t="s">
        <v>219</v>
      </c>
      <c r="E155">
        <v>4544</v>
      </c>
      <c r="F155" s="173" t="s">
        <v>129</v>
      </c>
      <c r="G155" s="173" t="s">
        <v>74</v>
      </c>
      <c r="H155" s="173" t="s">
        <v>64</v>
      </c>
      <c r="I155" s="173" t="s">
        <v>14</v>
      </c>
      <c r="J155" s="175" t="str">
        <f t="shared" si="6"/>
        <v>DoorWide Traditional 4544Shaker 4544Phantom Ecru       8212-28</v>
      </c>
      <c r="K155" s="174" t="s">
        <v>365</v>
      </c>
      <c r="L155" t="s">
        <v>364</v>
      </c>
    </row>
    <row r="156" spans="1:12" x14ac:dyDescent="0.35">
      <c r="A156" s="209" t="s">
        <v>222</v>
      </c>
      <c r="B156" s="209" t="s">
        <v>175</v>
      </c>
      <c r="C156" t="s">
        <v>166</v>
      </c>
      <c r="D156" t="s">
        <v>223</v>
      </c>
      <c r="E156">
        <v>4544</v>
      </c>
      <c r="F156" s="173" t="s">
        <v>128</v>
      </c>
      <c r="G156" s="173" t="s">
        <v>74</v>
      </c>
      <c r="H156" s="173" t="s">
        <v>64</v>
      </c>
      <c r="I156" s="173" t="s">
        <v>14</v>
      </c>
      <c r="J156" s="175" t="str">
        <f t="shared" si="6"/>
        <v>DoorWide Traditional 4544Shaker 4544Fawn Cypress       8208-16</v>
      </c>
      <c r="K156" s="174" t="s">
        <v>367</v>
      </c>
      <c r="L156" t="s">
        <v>366</v>
      </c>
    </row>
    <row r="157" spans="1:12" x14ac:dyDescent="0.35">
      <c r="A157" s="209" t="s">
        <v>226</v>
      </c>
      <c r="B157" s="209" t="s">
        <v>184</v>
      </c>
      <c r="C157" t="s">
        <v>166</v>
      </c>
      <c r="D157" t="s">
        <v>227</v>
      </c>
      <c r="E157">
        <v>4544</v>
      </c>
      <c r="F157" s="173" t="s">
        <v>130</v>
      </c>
      <c r="G157" s="173" t="s">
        <v>74</v>
      </c>
      <c r="H157" s="173" t="s">
        <v>64</v>
      </c>
      <c r="I157" s="173" t="s">
        <v>14</v>
      </c>
      <c r="J157" s="175" t="str">
        <f t="shared" si="6"/>
        <v>DoorWide Traditional 4544Shaker 4544River Cherry          7937-38</v>
      </c>
      <c r="K157" s="174" t="s">
        <v>369</v>
      </c>
      <c r="L157" t="s">
        <v>368</v>
      </c>
    </row>
    <row r="158" spans="1:12" x14ac:dyDescent="0.35">
      <c r="A158" s="209" t="s">
        <v>1183</v>
      </c>
      <c r="B158" s="209" t="s">
        <v>1184</v>
      </c>
      <c r="C158" t="s">
        <v>166</v>
      </c>
      <c r="D158" s="210" t="s">
        <v>1185</v>
      </c>
      <c r="E158">
        <v>4544</v>
      </c>
      <c r="F158" t="s">
        <v>1201</v>
      </c>
      <c r="G158" s="173" t="s">
        <v>74</v>
      </c>
      <c r="H158" s="173" t="s">
        <v>64</v>
      </c>
      <c r="I158" s="173" t="s">
        <v>14</v>
      </c>
      <c r="J158" s="175" t="str">
        <f t="shared" ref="J158:J164" si="9">CONCATENATE(I158,G158,H158,F158)</f>
        <v>DoorWide Traditional 4544Shaker 4544Akira                     8233-05</v>
      </c>
      <c r="K158" s="174" t="s">
        <v>1233</v>
      </c>
    </row>
    <row r="159" spans="1:12" x14ac:dyDescent="0.35">
      <c r="A159" s="209" t="s">
        <v>1186</v>
      </c>
      <c r="B159" s="209" t="s">
        <v>1184</v>
      </c>
      <c r="C159" t="s">
        <v>166</v>
      </c>
      <c r="D159" s="210" t="s">
        <v>1187</v>
      </c>
      <c r="E159">
        <v>4544</v>
      </c>
      <c r="F159" t="s">
        <v>1200</v>
      </c>
      <c r="G159" s="173" t="s">
        <v>74</v>
      </c>
      <c r="H159" s="173" t="s">
        <v>64</v>
      </c>
      <c r="I159" s="173" t="s">
        <v>14</v>
      </c>
      <c r="J159" s="175" t="str">
        <f t="shared" si="9"/>
        <v>DoorWide Traditional 4544Shaker 4544Belair                    8234-05</v>
      </c>
      <c r="K159" s="174" t="s">
        <v>1234</v>
      </c>
    </row>
    <row r="160" spans="1:12" x14ac:dyDescent="0.35">
      <c r="A160" s="209" t="s">
        <v>1188</v>
      </c>
      <c r="B160" s="209" t="s">
        <v>1184</v>
      </c>
      <c r="C160" t="s">
        <v>166</v>
      </c>
      <c r="D160" s="210" t="s">
        <v>1189</v>
      </c>
      <c r="E160">
        <v>4544</v>
      </c>
      <c r="F160" t="s">
        <v>1198</v>
      </c>
      <c r="G160" s="173" t="s">
        <v>74</v>
      </c>
      <c r="H160" s="173" t="s">
        <v>64</v>
      </c>
      <c r="I160" s="173" t="s">
        <v>14</v>
      </c>
      <c r="J160" s="175" t="str">
        <f t="shared" si="9"/>
        <v>DoorWide Traditional 4544Shaker 4544Daintree               8235-05</v>
      </c>
      <c r="K160" s="174" t="s">
        <v>1235</v>
      </c>
    </row>
    <row r="161" spans="1:12" x14ac:dyDescent="0.35">
      <c r="A161" s="209" t="s">
        <v>1190</v>
      </c>
      <c r="B161" s="209" t="s">
        <v>1184</v>
      </c>
      <c r="C161" t="s">
        <v>166</v>
      </c>
      <c r="D161" s="210" t="s">
        <v>1191</v>
      </c>
      <c r="E161">
        <v>4544</v>
      </c>
      <c r="F161" t="s">
        <v>1199</v>
      </c>
      <c r="G161" s="173" t="s">
        <v>74</v>
      </c>
      <c r="H161" s="173" t="s">
        <v>64</v>
      </c>
      <c r="I161" s="173" t="s">
        <v>14</v>
      </c>
      <c r="J161" s="175" t="str">
        <f t="shared" si="9"/>
        <v>DoorWide Traditional 4544Shaker 4544Monteverdi          8236-05</v>
      </c>
      <c r="K161" s="174" t="s">
        <v>1236</v>
      </c>
    </row>
    <row r="162" spans="1:12" x14ac:dyDescent="0.35">
      <c r="A162" s="209" t="s">
        <v>1192</v>
      </c>
      <c r="B162" s="209" t="s">
        <v>1184</v>
      </c>
      <c r="C162" t="s">
        <v>166</v>
      </c>
      <c r="D162" s="210" t="s">
        <v>1193</v>
      </c>
      <c r="E162">
        <v>4544</v>
      </c>
      <c r="F162" t="s">
        <v>1202</v>
      </c>
      <c r="G162" s="173" t="s">
        <v>74</v>
      </c>
      <c r="H162" s="173" t="s">
        <v>64</v>
      </c>
      <c r="I162" s="173" t="s">
        <v>14</v>
      </c>
      <c r="J162" s="175" t="str">
        <f t="shared" si="9"/>
        <v>DoorWide Traditional 4544Shaker 4544Great Bear           8237-05</v>
      </c>
      <c r="K162" s="174" t="s">
        <v>1237</v>
      </c>
    </row>
    <row r="163" spans="1:12" x14ac:dyDescent="0.35">
      <c r="A163" s="209" t="s">
        <v>1194</v>
      </c>
      <c r="B163" s="209" t="s">
        <v>1184</v>
      </c>
      <c r="C163" t="s">
        <v>166</v>
      </c>
      <c r="D163" s="210" t="s">
        <v>1195</v>
      </c>
      <c r="E163">
        <v>4544</v>
      </c>
      <c r="F163" t="s">
        <v>1203</v>
      </c>
      <c r="G163" s="173" t="s">
        <v>74</v>
      </c>
      <c r="H163" s="173" t="s">
        <v>64</v>
      </c>
      <c r="I163" s="173" t="s">
        <v>14</v>
      </c>
      <c r="J163" s="175" t="str">
        <f t="shared" si="9"/>
        <v>DoorWide Traditional 4544Shaker 4544Fairchild               8238-05</v>
      </c>
      <c r="K163" s="174" t="s">
        <v>1238</v>
      </c>
    </row>
    <row r="164" spans="1:12" x14ac:dyDescent="0.35">
      <c r="A164" s="209" t="s">
        <v>1196</v>
      </c>
      <c r="B164" s="209" t="s">
        <v>198</v>
      </c>
      <c r="C164" t="s">
        <v>166</v>
      </c>
      <c r="D164" s="210" t="s">
        <v>1197</v>
      </c>
      <c r="E164">
        <v>4544</v>
      </c>
      <c r="F164" t="s">
        <v>1204</v>
      </c>
      <c r="G164" s="173" t="s">
        <v>74</v>
      </c>
      <c r="H164" s="173" t="s">
        <v>64</v>
      </c>
      <c r="I164" s="173" t="s">
        <v>14</v>
      </c>
      <c r="J164" s="175" t="str">
        <f t="shared" si="9"/>
        <v>DoorWide Traditional 4544Shaker 4544Indigo                   D379-60</v>
      </c>
      <c r="K164" s="174" t="s">
        <v>1239</v>
      </c>
    </row>
    <row r="165" spans="1:12" x14ac:dyDescent="0.35">
      <c r="A165" s="209" t="s">
        <v>1106</v>
      </c>
      <c r="B165" s="209" t="s">
        <v>1115</v>
      </c>
      <c r="C165" t="s">
        <v>166</v>
      </c>
      <c r="D165" t="s">
        <v>880</v>
      </c>
      <c r="E165">
        <v>4544</v>
      </c>
      <c r="F165" t="s">
        <v>891</v>
      </c>
      <c r="G165" s="173" t="s">
        <v>74</v>
      </c>
      <c r="H165" s="173" t="s">
        <v>64</v>
      </c>
      <c r="I165" s="173" t="s">
        <v>14</v>
      </c>
      <c r="J165" s="175" t="str">
        <f t="shared" ref="J165:J175" si="10">CONCATENATE(I165,G165,H165,F165)</f>
        <v>DoorWide Traditional 4544Shaker 4544White Cypress    7976-79</v>
      </c>
      <c r="K165" s="174" t="s">
        <v>945</v>
      </c>
    </row>
    <row r="166" spans="1:12" x14ac:dyDescent="0.35">
      <c r="A166" s="209" t="s">
        <v>1107</v>
      </c>
      <c r="B166" s="209" t="s">
        <v>1115</v>
      </c>
      <c r="C166" t="s">
        <v>166</v>
      </c>
      <c r="D166" t="s">
        <v>881</v>
      </c>
      <c r="E166">
        <v>4544</v>
      </c>
      <c r="F166" t="s">
        <v>892</v>
      </c>
      <c r="G166" s="173" t="s">
        <v>74</v>
      </c>
      <c r="H166" s="173" t="s">
        <v>64</v>
      </c>
      <c r="I166" s="173" t="s">
        <v>14</v>
      </c>
      <c r="J166" s="175" t="str">
        <f t="shared" si="10"/>
        <v>DoorWide Traditional 4544Shaker 4544Randolph Forest    8225-79</v>
      </c>
      <c r="K166" s="174" t="s">
        <v>946</v>
      </c>
    </row>
    <row r="167" spans="1:12" x14ac:dyDescent="0.35">
      <c r="A167" s="209" t="s">
        <v>1108</v>
      </c>
      <c r="B167" s="209" t="s">
        <v>1115</v>
      </c>
      <c r="C167" t="s">
        <v>166</v>
      </c>
      <c r="D167" t="s">
        <v>882</v>
      </c>
      <c r="E167">
        <v>4544</v>
      </c>
      <c r="F167" t="s">
        <v>893</v>
      </c>
      <c r="G167" s="173" t="s">
        <v>74</v>
      </c>
      <c r="H167" s="173" t="s">
        <v>64</v>
      </c>
      <c r="I167" s="173" t="s">
        <v>14</v>
      </c>
      <c r="J167" s="175" t="str">
        <f t="shared" si="10"/>
        <v>DoorWide Traditional 4544Shaker 4544Dering Forest    8226-79</v>
      </c>
      <c r="K167" s="174" t="s">
        <v>947</v>
      </c>
    </row>
    <row r="168" spans="1:12" x14ac:dyDescent="0.35">
      <c r="A168" s="209" t="s">
        <v>1109</v>
      </c>
      <c r="B168" s="209" t="s">
        <v>1115</v>
      </c>
      <c r="C168" t="s">
        <v>166</v>
      </c>
      <c r="D168" t="s">
        <v>883</v>
      </c>
      <c r="E168">
        <v>4544</v>
      </c>
      <c r="F168" t="s">
        <v>894</v>
      </c>
      <c r="G168" s="173" t="s">
        <v>74</v>
      </c>
      <c r="H168" s="173" t="s">
        <v>64</v>
      </c>
      <c r="I168" s="173" t="s">
        <v>14</v>
      </c>
      <c r="J168" s="175" t="str">
        <f t="shared" si="10"/>
        <v>DoorWide Traditional 4544Shaker 4544White River Forest    8227-79</v>
      </c>
      <c r="K168" s="174" t="s">
        <v>948</v>
      </c>
    </row>
    <row r="169" spans="1:12" x14ac:dyDescent="0.35">
      <c r="A169" s="209" t="s">
        <v>1110</v>
      </c>
      <c r="B169" s="209" t="s">
        <v>1115</v>
      </c>
      <c r="C169" t="s">
        <v>166</v>
      </c>
      <c r="D169" t="s">
        <v>884</v>
      </c>
      <c r="E169">
        <v>4544</v>
      </c>
      <c r="F169" t="s">
        <v>895</v>
      </c>
      <c r="G169" s="173" t="s">
        <v>74</v>
      </c>
      <c r="H169" s="173" t="s">
        <v>64</v>
      </c>
      <c r="I169" s="173" t="s">
        <v>14</v>
      </c>
      <c r="J169" s="175" t="str">
        <f t="shared" si="10"/>
        <v>DoorWide Traditional 4544Shaker 4544Avondale Ash    8228-79</v>
      </c>
      <c r="K169" s="174" t="s">
        <v>949</v>
      </c>
    </row>
    <row r="170" spans="1:12" x14ac:dyDescent="0.35">
      <c r="A170" s="209" t="s">
        <v>1111</v>
      </c>
      <c r="B170" s="209" t="s">
        <v>1115</v>
      </c>
      <c r="C170" t="s">
        <v>166</v>
      </c>
      <c r="D170" t="s">
        <v>885</v>
      </c>
      <c r="E170">
        <v>4544</v>
      </c>
      <c r="F170" t="s">
        <v>896</v>
      </c>
      <c r="G170" s="173" t="s">
        <v>74</v>
      </c>
      <c r="H170" s="173" t="s">
        <v>64</v>
      </c>
      <c r="I170" s="173" t="s">
        <v>14</v>
      </c>
      <c r="J170" s="175" t="str">
        <f t="shared" si="10"/>
        <v>DoorWide Traditional 4544Shaker 4544Friston Ash    8229-79</v>
      </c>
      <c r="K170" s="174" t="s">
        <v>950</v>
      </c>
    </row>
    <row r="171" spans="1:12" x14ac:dyDescent="0.35">
      <c r="A171" s="209" t="s">
        <v>1112</v>
      </c>
      <c r="B171" s="209" t="s">
        <v>1115</v>
      </c>
      <c r="C171" t="s">
        <v>166</v>
      </c>
      <c r="D171" t="s">
        <v>886</v>
      </c>
      <c r="E171">
        <v>4544</v>
      </c>
      <c r="F171" t="s">
        <v>897</v>
      </c>
      <c r="G171" s="173" t="s">
        <v>74</v>
      </c>
      <c r="H171" s="173" t="s">
        <v>64</v>
      </c>
      <c r="I171" s="173" t="s">
        <v>14</v>
      </c>
      <c r="J171" s="175" t="str">
        <f t="shared" si="10"/>
        <v>DoorWide Traditional 4544Shaker 4544Valley Forge Elm    8231-79</v>
      </c>
      <c r="K171" s="174" t="s">
        <v>951</v>
      </c>
    </row>
    <row r="172" spans="1:12" x14ac:dyDescent="0.35">
      <c r="A172" s="209" t="s">
        <v>1113</v>
      </c>
      <c r="B172" s="209" t="s">
        <v>193</v>
      </c>
      <c r="C172" t="s">
        <v>166</v>
      </c>
      <c r="D172" t="s">
        <v>887</v>
      </c>
      <c r="E172">
        <v>4544</v>
      </c>
      <c r="F172" t="s">
        <v>898</v>
      </c>
      <c r="G172" s="173" t="s">
        <v>74</v>
      </c>
      <c r="H172" s="173" t="s">
        <v>64</v>
      </c>
      <c r="I172" s="173" t="s">
        <v>14</v>
      </c>
      <c r="J172" s="175" t="str">
        <f t="shared" si="10"/>
        <v>DoorWide Traditional 4544Shaker 4544High Line    7970-28</v>
      </c>
      <c r="K172" s="174" t="s">
        <v>952</v>
      </c>
    </row>
    <row r="173" spans="1:12" x14ac:dyDescent="0.35">
      <c r="A173" s="209" t="s">
        <v>183</v>
      </c>
      <c r="B173" s="209" t="s">
        <v>193</v>
      </c>
      <c r="C173" t="s">
        <v>166</v>
      </c>
      <c r="D173" t="s">
        <v>888</v>
      </c>
      <c r="E173">
        <v>4544</v>
      </c>
      <c r="F173" t="s">
        <v>899</v>
      </c>
      <c r="G173" s="173" t="s">
        <v>74</v>
      </c>
      <c r="H173" s="173" t="s">
        <v>64</v>
      </c>
      <c r="I173" s="173" t="s">
        <v>14</v>
      </c>
      <c r="J173" s="175" t="str">
        <f t="shared" si="10"/>
        <v>DoorWide Traditional 4544Shaker 4544Neowalnut    7991-28</v>
      </c>
      <c r="K173" s="174" t="s">
        <v>953</v>
      </c>
    </row>
    <row r="174" spans="1:12" x14ac:dyDescent="0.35">
      <c r="A174" s="209" t="s">
        <v>1114</v>
      </c>
      <c r="B174" s="209" t="s">
        <v>193</v>
      </c>
      <c r="C174" t="s">
        <v>166</v>
      </c>
      <c r="D174" t="s">
        <v>889</v>
      </c>
      <c r="E174">
        <v>4544</v>
      </c>
      <c r="F174" t="s">
        <v>900</v>
      </c>
      <c r="G174" s="173" t="s">
        <v>74</v>
      </c>
      <c r="H174" s="173" t="s">
        <v>64</v>
      </c>
      <c r="I174" s="173" t="s">
        <v>14</v>
      </c>
      <c r="J174" s="175" t="str">
        <f t="shared" si="10"/>
        <v>DoorWide Traditional 4544Shaker 4544Portico Teak    8210-28</v>
      </c>
      <c r="K174" s="174" t="s">
        <v>954</v>
      </c>
    </row>
    <row r="175" spans="1:12" x14ac:dyDescent="0.35">
      <c r="A175" s="209" t="s">
        <v>879</v>
      </c>
      <c r="B175" s="209" t="s">
        <v>198</v>
      </c>
      <c r="C175" t="s">
        <v>166</v>
      </c>
      <c r="D175" t="s">
        <v>890</v>
      </c>
      <c r="E175">
        <v>4544</v>
      </c>
      <c r="F175" t="s">
        <v>901</v>
      </c>
      <c r="G175" s="173" t="s">
        <v>74</v>
      </c>
      <c r="H175" s="173" t="s">
        <v>64</v>
      </c>
      <c r="I175" s="173" t="s">
        <v>14</v>
      </c>
      <c r="J175" s="175" t="str">
        <f t="shared" si="10"/>
        <v>DoorWide Traditional 4544Shaker 4544Pepperdust    D327-60</v>
      </c>
      <c r="K175" s="174" t="s">
        <v>955</v>
      </c>
    </row>
    <row r="176" spans="1:12" x14ac:dyDescent="0.35">
      <c r="A176" s="209" t="s">
        <v>230</v>
      </c>
      <c r="B176" s="209" t="s">
        <v>165</v>
      </c>
      <c r="C176" t="s">
        <v>272</v>
      </c>
      <c r="D176" t="s">
        <v>231</v>
      </c>
      <c r="E176">
        <v>4544</v>
      </c>
      <c r="F176" s="173" t="s">
        <v>12</v>
      </c>
      <c r="G176" s="173" t="s">
        <v>74</v>
      </c>
      <c r="H176" s="173" t="s">
        <v>64</v>
      </c>
      <c r="I176" s="173" t="s">
        <v>14</v>
      </c>
      <c r="J176" s="175" t="str">
        <f t="shared" si="6"/>
        <v>DoorWide Traditional 4544Shaker 4544Columbian Walnut  7943-07</v>
      </c>
      <c r="K176" s="174" t="s">
        <v>371</v>
      </c>
      <c r="L176" t="s">
        <v>370</v>
      </c>
    </row>
    <row r="177" spans="1:12" x14ac:dyDescent="0.35">
      <c r="A177" s="209" t="s">
        <v>234</v>
      </c>
      <c r="B177" s="209" t="s">
        <v>184</v>
      </c>
      <c r="C177" t="s">
        <v>166</v>
      </c>
      <c r="D177" t="s">
        <v>235</v>
      </c>
      <c r="E177">
        <v>4544</v>
      </c>
      <c r="F177" s="173" t="s">
        <v>131</v>
      </c>
      <c r="G177" s="173" t="s">
        <v>74</v>
      </c>
      <c r="H177" s="173" t="s">
        <v>64</v>
      </c>
      <c r="I177" s="173" t="s">
        <v>14</v>
      </c>
      <c r="J177" s="175" t="str">
        <f t="shared" si="6"/>
        <v>DoorWide Traditional 4544Shaker 4544Florence Walnut    7993-38</v>
      </c>
      <c r="K177" s="174" t="s">
        <v>373</v>
      </c>
      <c r="L177" t="s">
        <v>372</v>
      </c>
    </row>
    <row r="178" spans="1:12" x14ac:dyDescent="0.35">
      <c r="A178" s="209" t="s">
        <v>164</v>
      </c>
      <c r="B178" s="209" t="s">
        <v>165</v>
      </c>
      <c r="C178" t="s">
        <v>166</v>
      </c>
      <c r="D178" t="s">
        <v>167</v>
      </c>
      <c r="E178">
        <v>4544</v>
      </c>
      <c r="F178" s="173" t="s">
        <v>132</v>
      </c>
      <c r="G178" s="173" t="s">
        <v>74</v>
      </c>
      <c r="H178" s="173" t="s">
        <v>64</v>
      </c>
      <c r="I178" s="173" t="s">
        <v>26</v>
      </c>
      <c r="J178" s="175" t="str">
        <f t="shared" si="6"/>
        <v>Drawer FrontWide Traditional 4544Shaker 4544Shaker Cherry       7935-07</v>
      </c>
      <c r="K178" s="174" t="s">
        <v>375</v>
      </c>
      <c r="L178" t="s">
        <v>374</v>
      </c>
    </row>
    <row r="179" spans="1:12" x14ac:dyDescent="0.35">
      <c r="A179" s="209" t="s">
        <v>170</v>
      </c>
      <c r="B179" s="209" t="s">
        <v>165</v>
      </c>
      <c r="C179" t="s">
        <v>166</v>
      </c>
      <c r="D179" t="s">
        <v>171</v>
      </c>
      <c r="E179">
        <v>4544</v>
      </c>
      <c r="F179" s="173" t="s">
        <v>133</v>
      </c>
      <c r="G179" s="173" t="s">
        <v>74</v>
      </c>
      <c r="H179" s="173" t="s">
        <v>64</v>
      </c>
      <c r="I179" s="173" t="s">
        <v>26</v>
      </c>
      <c r="J179" s="175" t="str">
        <f t="shared" si="6"/>
        <v>Drawer FrontWide Traditional 4544Shaker 4544Cafelle 7933-07</v>
      </c>
      <c r="K179" s="174" t="s">
        <v>377</v>
      </c>
      <c r="L179" t="s">
        <v>376</v>
      </c>
    </row>
    <row r="180" spans="1:12" x14ac:dyDescent="0.35">
      <c r="A180" s="209" t="s">
        <v>174</v>
      </c>
      <c r="B180" s="209" t="s">
        <v>175</v>
      </c>
      <c r="C180" t="s">
        <v>166</v>
      </c>
      <c r="D180" t="s">
        <v>176</v>
      </c>
      <c r="E180">
        <v>4544</v>
      </c>
      <c r="F180" s="173" t="s">
        <v>123</v>
      </c>
      <c r="G180" s="173" t="s">
        <v>74</v>
      </c>
      <c r="H180" s="173" t="s">
        <v>64</v>
      </c>
      <c r="I180" s="173" t="s">
        <v>26</v>
      </c>
      <c r="J180" s="175" t="str">
        <f t="shared" si="6"/>
        <v>Drawer FrontWide Traditional 4544Shaker 4544White Driftwood      8200-16</v>
      </c>
      <c r="K180" s="174" t="s">
        <v>379</v>
      </c>
      <c r="L180" t="s">
        <v>378</v>
      </c>
    </row>
    <row r="181" spans="1:12" x14ac:dyDescent="0.35">
      <c r="A181" s="209" t="s">
        <v>179</v>
      </c>
      <c r="B181" s="209" t="s">
        <v>175</v>
      </c>
      <c r="C181" t="s">
        <v>166</v>
      </c>
      <c r="D181" t="s">
        <v>180</v>
      </c>
      <c r="E181">
        <v>4544</v>
      </c>
      <c r="F181" s="173" t="s">
        <v>124</v>
      </c>
      <c r="G181" s="173" t="s">
        <v>74</v>
      </c>
      <c r="H181" s="173" t="s">
        <v>64</v>
      </c>
      <c r="I181" s="173" t="s">
        <v>26</v>
      </c>
      <c r="J181" s="175" t="str">
        <f t="shared" si="6"/>
        <v>Drawer FrontWide Traditional 4544Shaker 4544Weathered Char     8204-16</v>
      </c>
      <c r="K181" s="174" t="s">
        <v>381</v>
      </c>
      <c r="L181" t="s">
        <v>380</v>
      </c>
    </row>
    <row r="182" spans="1:12" x14ac:dyDescent="0.35">
      <c r="A182" s="209" t="s">
        <v>183</v>
      </c>
      <c r="B182" s="209" t="s">
        <v>184</v>
      </c>
      <c r="C182" t="s">
        <v>166</v>
      </c>
      <c r="D182" t="s">
        <v>185</v>
      </c>
      <c r="E182">
        <v>4544</v>
      </c>
      <c r="F182" s="173" t="s">
        <v>134</v>
      </c>
      <c r="G182" s="173" t="s">
        <v>74</v>
      </c>
      <c r="H182" s="173" t="s">
        <v>64</v>
      </c>
      <c r="I182" s="173" t="s">
        <v>26</v>
      </c>
      <c r="J182" s="175" t="str">
        <f t="shared" si="6"/>
        <v>Drawer FrontWide Traditional 4544Shaker 4544Neowalnut 7991-38</v>
      </c>
      <c r="K182" s="174" t="s">
        <v>383</v>
      </c>
      <c r="L182" t="s">
        <v>382</v>
      </c>
    </row>
    <row r="183" spans="1:12" x14ac:dyDescent="0.35">
      <c r="A183" s="209" t="s">
        <v>188</v>
      </c>
      <c r="B183" s="209" t="s">
        <v>184</v>
      </c>
      <c r="C183" t="s">
        <v>166</v>
      </c>
      <c r="D183" t="s">
        <v>189</v>
      </c>
      <c r="E183">
        <v>4544</v>
      </c>
      <c r="F183" s="173" t="s">
        <v>135</v>
      </c>
      <c r="G183" s="173" t="s">
        <v>74</v>
      </c>
      <c r="H183" s="173" t="s">
        <v>64</v>
      </c>
      <c r="I183" s="173" t="s">
        <v>26</v>
      </c>
      <c r="J183" s="175" t="str">
        <f t="shared" si="6"/>
        <v>Drawer FrontWide Traditional 4544Shaker 4544Ebony Recon        7997-38</v>
      </c>
      <c r="K183" s="174" t="s">
        <v>385</v>
      </c>
      <c r="L183" t="s">
        <v>384</v>
      </c>
    </row>
    <row r="184" spans="1:12" x14ac:dyDescent="0.35">
      <c r="A184" s="209" t="s">
        <v>192</v>
      </c>
      <c r="B184" s="209" t="s">
        <v>193</v>
      </c>
      <c r="C184" t="s">
        <v>166</v>
      </c>
      <c r="D184" t="s">
        <v>194</v>
      </c>
      <c r="E184">
        <v>4544</v>
      </c>
      <c r="F184" s="173" t="s">
        <v>36</v>
      </c>
      <c r="G184" s="173" t="s">
        <v>74</v>
      </c>
      <c r="H184" s="173" t="s">
        <v>64</v>
      </c>
      <c r="I184" s="173" t="s">
        <v>26</v>
      </c>
      <c r="J184" s="175" t="str">
        <f t="shared" si="6"/>
        <v>Drawer FrontWide Traditional 4544Shaker 4544Phantom Charcoal  8214-28</v>
      </c>
      <c r="K184" s="174" t="s">
        <v>387</v>
      </c>
      <c r="L184" t="s">
        <v>386</v>
      </c>
    </row>
    <row r="185" spans="1:12" x14ac:dyDescent="0.35">
      <c r="A185" s="209" t="s">
        <v>197</v>
      </c>
      <c r="B185" s="209" t="s">
        <v>198</v>
      </c>
      <c r="C185" t="s">
        <v>166</v>
      </c>
      <c r="D185" t="s">
        <v>199</v>
      </c>
      <c r="E185">
        <v>4544</v>
      </c>
      <c r="F185" s="173" t="s">
        <v>11</v>
      </c>
      <c r="G185" s="173" t="s">
        <v>74</v>
      </c>
      <c r="H185" s="173" t="s">
        <v>64</v>
      </c>
      <c r="I185" s="173" t="s">
        <v>26</v>
      </c>
      <c r="J185" s="175" t="str">
        <f t="shared" si="6"/>
        <v>Drawer FrontWide Traditional 4544Shaker 4544Linen  D427-60</v>
      </c>
      <c r="K185" s="174" t="s">
        <v>389</v>
      </c>
      <c r="L185" t="s">
        <v>388</v>
      </c>
    </row>
    <row r="186" spans="1:12" x14ac:dyDescent="0.35">
      <c r="A186" s="209" t="s">
        <v>202</v>
      </c>
      <c r="B186" s="209" t="s">
        <v>193</v>
      </c>
      <c r="C186" t="s">
        <v>166</v>
      </c>
      <c r="D186" t="s">
        <v>203</v>
      </c>
      <c r="E186">
        <v>4544</v>
      </c>
      <c r="F186" s="173" t="s">
        <v>136</v>
      </c>
      <c r="G186" s="173" t="s">
        <v>74</v>
      </c>
      <c r="H186" s="173" t="s">
        <v>64</v>
      </c>
      <c r="I186" s="173" t="s">
        <v>26</v>
      </c>
      <c r="J186" s="175" t="str">
        <f t="shared" si="6"/>
        <v>Drawer FrontWide Traditional 4544Shaker 4544Phantom Pearl      8211-28</v>
      </c>
      <c r="K186" s="174" t="s">
        <v>391</v>
      </c>
      <c r="L186" t="s">
        <v>390</v>
      </c>
    </row>
    <row r="187" spans="1:12" x14ac:dyDescent="0.35">
      <c r="A187" s="209" t="s">
        <v>206</v>
      </c>
      <c r="B187" s="209" t="s">
        <v>193</v>
      </c>
      <c r="C187" t="s">
        <v>166</v>
      </c>
      <c r="D187" t="s">
        <v>207</v>
      </c>
      <c r="E187">
        <v>4544</v>
      </c>
      <c r="F187" s="173" t="s">
        <v>125</v>
      </c>
      <c r="G187" s="173" t="s">
        <v>74</v>
      </c>
      <c r="H187" s="173" t="s">
        <v>64</v>
      </c>
      <c r="I187" s="173" t="s">
        <v>26</v>
      </c>
      <c r="J187" s="175" t="str">
        <f t="shared" si="6"/>
        <v>Drawer FrontWide Traditional 4544Shaker 4544Veranda Teak        8209-28</v>
      </c>
      <c r="K187" s="174" t="s">
        <v>393</v>
      </c>
      <c r="L187" t="s">
        <v>392</v>
      </c>
    </row>
    <row r="188" spans="1:12" x14ac:dyDescent="0.35">
      <c r="A188" s="209" t="s">
        <v>210</v>
      </c>
      <c r="B188" s="209" t="s">
        <v>175</v>
      </c>
      <c r="C188" t="s">
        <v>166</v>
      </c>
      <c r="D188" t="s">
        <v>211</v>
      </c>
      <c r="E188">
        <v>4544</v>
      </c>
      <c r="F188" s="173" t="s">
        <v>126</v>
      </c>
      <c r="G188" s="173" t="s">
        <v>74</v>
      </c>
      <c r="H188" s="173" t="s">
        <v>64</v>
      </c>
      <c r="I188" s="173" t="s">
        <v>26</v>
      </c>
      <c r="J188" s="175" t="str">
        <f t="shared" si="6"/>
        <v>Drawer FrontWide Traditional 4544Shaker 4544Branded Oak         8207-16</v>
      </c>
      <c r="K188" s="174" t="s">
        <v>395</v>
      </c>
      <c r="L188" t="s">
        <v>394</v>
      </c>
    </row>
    <row r="189" spans="1:12" x14ac:dyDescent="0.35">
      <c r="A189" s="209" t="s">
        <v>214</v>
      </c>
      <c r="B189" s="209" t="s">
        <v>175</v>
      </c>
      <c r="C189" t="s">
        <v>166</v>
      </c>
      <c r="D189" t="s">
        <v>215</v>
      </c>
      <c r="E189">
        <v>4544</v>
      </c>
      <c r="F189" s="173" t="s">
        <v>127</v>
      </c>
      <c r="G189" s="173" t="s">
        <v>74</v>
      </c>
      <c r="H189" s="173" t="s">
        <v>64</v>
      </c>
      <c r="I189" s="173" t="s">
        <v>26</v>
      </c>
      <c r="J189" s="175" t="str">
        <f t="shared" si="6"/>
        <v>Drawer FrontWide Traditional 4544Shaker 4544Saddle Oak           8206-16</v>
      </c>
      <c r="K189" s="174" t="s">
        <v>397</v>
      </c>
      <c r="L189" t="s">
        <v>396</v>
      </c>
    </row>
    <row r="190" spans="1:12" x14ac:dyDescent="0.35">
      <c r="A190" s="209" t="s">
        <v>218</v>
      </c>
      <c r="B190" s="209" t="s">
        <v>193</v>
      </c>
      <c r="C190" t="s">
        <v>166</v>
      </c>
      <c r="D190" t="s">
        <v>219</v>
      </c>
      <c r="E190">
        <v>4544</v>
      </c>
      <c r="F190" s="173" t="s">
        <v>129</v>
      </c>
      <c r="G190" s="173" t="s">
        <v>74</v>
      </c>
      <c r="H190" s="173" t="s">
        <v>64</v>
      </c>
      <c r="I190" s="173" t="s">
        <v>26</v>
      </c>
      <c r="J190" s="175" t="str">
        <f t="shared" si="6"/>
        <v>Drawer FrontWide Traditional 4544Shaker 4544Phantom Ecru       8212-28</v>
      </c>
      <c r="K190" s="174" t="s">
        <v>399</v>
      </c>
      <c r="L190" t="s">
        <v>398</v>
      </c>
    </row>
    <row r="191" spans="1:12" x14ac:dyDescent="0.35">
      <c r="A191" s="209" t="s">
        <v>222</v>
      </c>
      <c r="B191" s="209" t="s">
        <v>175</v>
      </c>
      <c r="C191" t="s">
        <v>166</v>
      </c>
      <c r="D191" t="s">
        <v>223</v>
      </c>
      <c r="E191">
        <v>4544</v>
      </c>
      <c r="F191" s="173" t="s">
        <v>128</v>
      </c>
      <c r="G191" s="173" t="s">
        <v>74</v>
      </c>
      <c r="H191" s="173" t="s">
        <v>64</v>
      </c>
      <c r="I191" s="173" t="s">
        <v>26</v>
      </c>
      <c r="J191" s="175" t="str">
        <f t="shared" si="6"/>
        <v>Drawer FrontWide Traditional 4544Shaker 4544Fawn Cypress       8208-16</v>
      </c>
      <c r="K191" s="174" t="s">
        <v>401</v>
      </c>
      <c r="L191" t="s">
        <v>400</v>
      </c>
    </row>
    <row r="192" spans="1:12" x14ac:dyDescent="0.35">
      <c r="A192" s="209" t="s">
        <v>226</v>
      </c>
      <c r="B192" s="209" t="s">
        <v>184</v>
      </c>
      <c r="C192" t="s">
        <v>166</v>
      </c>
      <c r="D192" t="s">
        <v>227</v>
      </c>
      <c r="E192">
        <v>4544</v>
      </c>
      <c r="F192" s="173" t="s">
        <v>130</v>
      </c>
      <c r="G192" s="173" t="s">
        <v>74</v>
      </c>
      <c r="H192" s="173" t="s">
        <v>64</v>
      </c>
      <c r="I192" s="173" t="s">
        <v>26</v>
      </c>
      <c r="J192" s="175" t="str">
        <f t="shared" si="6"/>
        <v>Drawer FrontWide Traditional 4544Shaker 4544River Cherry          7937-38</v>
      </c>
      <c r="K192" s="174" t="s">
        <v>403</v>
      </c>
      <c r="L192" t="s">
        <v>402</v>
      </c>
    </row>
    <row r="193" spans="1:11" x14ac:dyDescent="0.35">
      <c r="A193" s="209" t="s">
        <v>1183</v>
      </c>
      <c r="B193" s="209" t="s">
        <v>1184</v>
      </c>
      <c r="C193" t="s">
        <v>166</v>
      </c>
      <c r="D193" s="210" t="s">
        <v>1185</v>
      </c>
      <c r="E193">
        <v>4544</v>
      </c>
      <c r="F193" s="211" t="s">
        <v>1201</v>
      </c>
      <c r="G193" s="173" t="s">
        <v>74</v>
      </c>
      <c r="H193" s="173" t="s">
        <v>64</v>
      </c>
      <c r="I193" s="173" t="s">
        <v>26</v>
      </c>
      <c r="J193" s="175" t="str">
        <f t="shared" ref="J193:J199" si="11">CONCATENATE(I193,G193,H193,F193)</f>
        <v>Drawer FrontWide Traditional 4544Shaker 4544Akira                     8233-05</v>
      </c>
      <c r="K193" s="174" t="s">
        <v>1240</v>
      </c>
    </row>
    <row r="194" spans="1:11" x14ac:dyDescent="0.35">
      <c r="A194" s="209" t="s">
        <v>1186</v>
      </c>
      <c r="B194" s="209" t="s">
        <v>1184</v>
      </c>
      <c r="C194" t="s">
        <v>166</v>
      </c>
      <c r="D194" s="210" t="s">
        <v>1187</v>
      </c>
      <c r="E194">
        <v>4544</v>
      </c>
      <c r="F194" s="211" t="s">
        <v>1200</v>
      </c>
      <c r="G194" s="173" t="s">
        <v>74</v>
      </c>
      <c r="H194" s="173" t="s">
        <v>64</v>
      </c>
      <c r="I194" s="173" t="s">
        <v>26</v>
      </c>
      <c r="J194" s="175" t="str">
        <f t="shared" si="11"/>
        <v>Drawer FrontWide Traditional 4544Shaker 4544Belair                    8234-05</v>
      </c>
      <c r="K194" s="174" t="s">
        <v>1241</v>
      </c>
    </row>
    <row r="195" spans="1:11" x14ac:dyDescent="0.35">
      <c r="A195" s="209" t="s">
        <v>1188</v>
      </c>
      <c r="B195" s="209" t="s">
        <v>1184</v>
      </c>
      <c r="C195" t="s">
        <v>166</v>
      </c>
      <c r="D195" s="210" t="s">
        <v>1189</v>
      </c>
      <c r="E195">
        <v>4544</v>
      </c>
      <c r="F195" s="211" t="s">
        <v>1198</v>
      </c>
      <c r="G195" s="173" t="s">
        <v>74</v>
      </c>
      <c r="H195" s="173" t="s">
        <v>64</v>
      </c>
      <c r="I195" s="173" t="s">
        <v>26</v>
      </c>
      <c r="J195" s="175" t="str">
        <f t="shared" si="11"/>
        <v>Drawer FrontWide Traditional 4544Shaker 4544Daintree               8235-05</v>
      </c>
      <c r="K195" s="174" t="s">
        <v>1242</v>
      </c>
    </row>
    <row r="196" spans="1:11" x14ac:dyDescent="0.35">
      <c r="A196" s="209" t="s">
        <v>1190</v>
      </c>
      <c r="B196" s="209" t="s">
        <v>1184</v>
      </c>
      <c r="C196" t="s">
        <v>166</v>
      </c>
      <c r="D196" s="210" t="s">
        <v>1191</v>
      </c>
      <c r="E196">
        <v>4544</v>
      </c>
      <c r="F196" s="211" t="s">
        <v>1199</v>
      </c>
      <c r="G196" s="173" t="s">
        <v>74</v>
      </c>
      <c r="H196" s="173" t="s">
        <v>64</v>
      </c>
      <c r="I196" s="173" t="s">
        <v>26</v>
      </c>
      <c r="J196" s="175" t="str">
        <f t="shared" si="11"/>
        <v>Drawer FrontWide Traditional 4544Shaker 4544Monteverdi          8236-05</v>
      </c>
      <c r="K196" s="174" t="s">
        <v>1243</v>
      </c>
    </row>
    <row r="197" spans="1:11" x14ac:dyDescent="0.35">
      <c r="A197" s="209" t="s">
        <v>1192</v>
      </c>
      <c r="B197" s="209" t="s">
        <v>1184</v>
      </c>
      <c r="C197" t="s">
        <v>166</v>
      </c>
      <c r="D197" s="210" t="s">
        <v>1193</v>
      </c>
      <c r="E197">
        <v>4544</v>
      </c>
      <c r="F197" s="211" t="s">
        <v>1202</v>
      </c>
      <c r="G197" s="173" t="s">
        <v>74</v>
      </c>
      <c r="H197" s="173" t="s">
        <v>64</v>
      </c>
      <c r="I197" s="173" t="s">
        <v>26</v>
      </c>
      <c r="J197" s="175" t="str">
        <f t="shared" si="11"/>
        <v>Drawer FrontWide Traditional 4544Shaker 4544Great Bear           8237-05</v>
      </c>
      <c r="K197" s="174" t="s">
        <v>1244</v>
      </c>
    </row>
    <row r="198" spans="1:11" x14ac:dyDescent="0.35">
      <c r="A198" s="209" t="s">
        <v>1194</v>
      </c>
      <c r="B198" s="209" t="s">
        <v>1184</v>
      </c>
      <c r="C198" t="s">
        <v>166</v>
      </c>
      <c r="D198" s="210" t="s">
        <v>1195</v>
      </c>
      <c r="E198">
        <v>4544</v>
      </c>
      <c r="F198" s="211" t="s">
        <v>1203</v>
      </c>
      <c r="G198" s="173" t="s">
        <v>74</v>
      </c>
      <c r="H198" s="173" t="s">
        <v>64</v>
      </c>
      <c r="I198" s="173" t="s">
        <v>26</v>
      </c>
      <c r="J198" s="175" t="str">
        <f t="shared" si="11"/>
        <v>Drawer FrontWide Traditional 4544Shaker 4544Fairchild               8238-05</v>
      </c>
      <c r="K198" s="174" t="s">
        <v>1245</v>
      </c>
    </row>
    <row r="199" spans="1:11" x14ac:dyDescent="0.35">
      <c r="A199" s="209" t="s">
        <v>1196</v>
      </c>
      <c r="B199" s="209" t="s">
        <v>198</v>
      </c>
      <c r="C199" t="s">
        <v>166</v>
      </c>
      <c r="D199" s="210" t="s">
        <v>1197</v>
      </c>
      <c r="E199">
        <v>4544</v>
      </c>
      <c r="F199" s="211" t="s">
        <v>1204</v>
      </c>
      <c r="G199" s="173" t="s">
        <v>74</v>
      </c>
      <c r="H199" s="173" t="s">
        <v>64</v>
      </c>
      <c r="I199" s="173" t="s">
        <v>26</v>
      </c>
      <c r="J199" s="175" t="str">
        <f t="shared" si="11"/>
        <v>Drawer FrontWide Traditional 4544Shaker 4544Indigo                   D379-60</v>
      </c>
      <c r="K199" s="174" t="s">
        <v>1246</v>
      </c>
    </row>
    <row r="200" spans="1:11" x14ac:dyDescent="0.35">
      <c r="A200" s="209" t="s">
        <v>1106</v>
      </c>
      <c r="B200" s="209" t="s">
        <v>1115</v>
      </c>
      <c r="C200" t="s">
        <v>166</v>
      </c>
      <c r="D200" t="s">
        <v>880</v>
      </c>
      <c r="E200">
        <v>4544</v>
      </c>
      <c r="F200" t="s">
        <v>891</v>
      </c>
      <c r="G200" s="173" t="s">
        <v>74</v>
      </c>
      <c r="H200" s="173" t="s">
        <v>64</v>
      </c>
      <c r="I200" s="173" t="s">
        <v>26</v>
      </c>
      <c r="J200" s="175" t="str">
        <f t="shared" ref="J200:J210" si="12">CONCATENATE(I200,G200,H200,F200)</f>
        <v>Drawer FrontWide Traditional 4544Shaker 4544White Cypress    7976-79</v>
      </c>
      <c r="K200" s="174" t="s">
        <v>956</v>
      </c>
    </row>
    <row r="201" spans="1:11" x14ac:dyDescent="0.35">
      <c r="A201" s="209" t="s">
        <v>1107</v>
      </c>
      <c r="B201" s="209" t="s">
        <v>1115</v>
      </c>
      <c r="C201" t="s">
        <v>166</v>
      </c>
      <c r="D201" t="s">
        <v>881</v>
      </c>
      <c r="E201">
        <v>4544</v>
      </c>
      <c r="F201" t="s">
        <v>892</v>
      </c>
      <c r="G201" s="173" t="s">
        <v>74</v>
      </c>
      <c r="H201" s="173" t="s">
        <v>64</v>
      </c>
      <c r="I201" s="173" t="s">
        <v>26</v>
      </c>
      <c r="J201" s="175" t="str">
        <f t="shared" si="12"/>
        <v>Drawer FrontWide Traditional 4544Shaker 4544Randolph Forest    8225-79</v>
      </c>
      <c r="K201" s="174" t="s">
        <v>957</v>
      </c>
    </row>
    <row r="202" spans="1:11" x14ac:dyDescent="0.35">
      <c r="A202" s="209" t="s">
        <v>1108</v>
      </c>
      <c r="B202" s="209" t="s">
        <v>1115</v>
      </c>
      <c r="C202" t="s">
        <v>166</v>
      </c>
      <c r="D202" t="s">
        <v>882</v>
      </c>
      <c r="E202">
        <v>4544</v>
      </c>
      <c r="F202" t="s">
        <v>893</v>
      </c>
      <c r="G202" s="173" t="s">
        <v>74</v>
      </c>
      <c r="H202" s="173" t="s">
        <v>64</v>
      </c>
      <c r="I202" s="173" t="s">
        <v>26</v>
      </c>
      <c r="J202" s="175" t="str">
        <f t="shared" si="12"/>
        <v>Drawer FrontWide Traditional 4544Shaker 4544Dering Forest    8226-79</v>
      </c>
      <c r="K202" s="174" t="s">
        <v>958</v>
      </c>
    </row>
    <row r="203" spans="1:11" x14ac:dyDescent="0.35">
      <c r="A203" s="209" t="s">
        <v>1109</v>
      </c>
      <c r="B203" s="209" t="s">
        <v>1115</v>
      </c>
      <c r="C203" t="s">
        <v>166</v>
      </c>
      <c r="D203" t="s">
        <v>883</v>
      </c>
      <c r="E203">
        <v>4544</v>
      </c>
      <c r="F203" t="s">
        <v>894</v>
      </c>
      <c r="G203" s="173" t="s">
        <v>74</v>
      </c>
      <c r="H203" s="173" t="s">
        <v>64</v>
      </c>
      <c r="I203" s="173" t="s">
        <v>26</v>
      </c>
      <c r="J203" s="175" t="str">
        <f t="shared" si="12"/>
        <v>Drawer FrontWide Traditional 4544Shaker 4544White River Forest    8227-79</v>
      </c>
      <c r="K203" s="174" t="s">
        <v>959</v>
      </c>
    </row>
    <row r="204" spans="1:11" x14ac:dyDescent="0.35">
      <c r="A204" s="209" t="s">
        <v>1110</v>
      </c>
      <c r="B204" s="209" t="s">
        <v>1115</v>
      </c>
      <c r="C204" t="s">
        <v>166</v>
      </c>
      <c r="D204" t="s">
        <v>884</v>
      </c>
      <c r="E204">
        <v>4544</v>
      </c>
      <c r="F204" t="s">
        <v>895</v>
      </c>
      <c r="G204" s="173" t="s">
        <v>74</v>
      </c>
      <c r="H204" s="173" t="s">
        <v>64</v>
      </c>
      <c r="I204" s="173" t="s">
        <v>26</v>
      </c>
      <c r="J204" s="175" t="str">
        <f t="shared" si="12"/>
        <v>Drawer FrontWide Traditional 4544Shaker 4544Avondale Ash    8228-79</v>
      </c>
      <c r="K204" s="174" t="s">
        <v>960</v>
      </c>
    </row>
    <row r="205" spans="1:11" x14ac:dyDescent="0.35">
      <c r="A205" s="209" t="s">
        <v>1111</v>
      </c>
      <c r="B205" s="209" t="s">
        <v>1115</v>
      </c>
      <c r="C205" t="s">
        <v>166</v>
      </c>
      <c r="D205" t="s">
        <v>885</v>
      </c>
      <c r="E205">
        <v>4544</v>
      </c>
      <c r="F205" t="s">
        <v>896</v>
      </c>
      <c r="G205" s="173" t="s">
        <v>74</v>
      </c>
      <c r="H205" s="173" t="s">
        <v>64</v>
      </c>
      <c r="I205" s="173" t="s">
        <v>26</v>
      </c>
      <c r="J205" s="175" t="str">
        <f t="shared" si="12"/>
        <v>Drawer FrontWide Traditional 4544Shaker 4544Friston Ash    8229-79</v>
      </c>
      <c r="K205" s="174" t="s">
        <v>961</v>
      </c>
    </row>
    <row r="206" spans="1:11" x14ac:dyDescent="0.35">
      <c r="A206" s="209" t="s">
        <v>1112</v>
      </c>
      <c r="B206" s="209" t="s">
        <v>1115</v>
      </c>
      <c r="C206" t="s">
        <v>166</v>
      </c>
      <c r="D206" t="s">
        <v>886</v>
      </c>
      <c r="E206">
        <v>4544</v>
      </c>
      <c r="F206" t="s">
        <v>897</v>
      </c>
      <c r="G206" s="173" t="s">
        <v>74</v>
      </c>
      <c r="H206" s="173" t="s">
        <v>64</v>
      </c>
      <c r="I206" s="173" t="s">
        <v>26</v>
      </c>
      <c r="J206" s="175" t="str">
        <f t="shared" si="12"/>
        <v>Drawer FrontWide Traditional 4544Shaker 4544Valley Forge Elm    8231-79</v>
      </c>
      <c r="K206" s="174" t="s">
        <v>962</v>
      </c>
    </row>
    <row r="207" spans="1:11" x14ac:dyDescent="0.35">
      <c r="A207" s="209" t="s">
        <v>1113</v>
      </c>
      <c r="B207" s="209" t="s">
        <v>193</v>
      </c>
      <c r="C207" t="s">
        <v>166</v>
      </c>
      <c r="D207" t="s">
        <v>887</v>
      </c>
      <c r="E207">
        <v>4544</v>
      </c>
      <c r="F207" t="s">
        <v>898</v>
      </c>
      <c r="G207" s="173" t="s">
        <v>74</v>
      </c>
      <c r="H207" s="173" t="s">
        <v>64</v>
      </c>
      <c r="I207" s="173" t="s">
        <v>26</v>
      </c>
      <c r="J207" s="175" t="str">
        <f t="shared" si="12"/>
        <v>Drawer FrontWide Traditional 4544Shaker 4544High Line    7970-28</v>
      </c>
      <c r="K207" s="174" t="s">
        <v>963</v>
      </c>
    </row>
    <row r="208" spans="1:11" x14ac:dyDescent="0.35">
      <c r="A208" s="209" t="s">
        <v>183</v>
      </c>
      <c r="B208" s="209" t="s">
        <v>193</v>
      </c>
      <c r="C208" t="s">
        <v>166</v>
      </c>
      <c r="D208" t="s">
        <v>888</v>
      </c>
      <c r="E208">
        <v>4544</v>
      </c>
      <c r="F208" t="s">
        <v>899</v>
      </c>
      <c r="G208" s="173" t="s">
        <v>74</v>
      </c>
      <c r="H208" s="173" t="s">
        <v>64</v>
      </c>
      <c r="I208" s="173" t="s">
        <v>26</v>
      </c>
      <c r="J208" s="175" t="str">
        <f t="shared" si="12"/>
        <v>Drawer FrontWide Traditional 4544Shaker 4544Neowalnut    7991-28</v>
      </c>
      <c r="K208" s="174" t="s">
        <v>964</v>
      </c>
    </row>
    <row r="209" spans="1:12" x14ac:dyDescent="0.35">
      <c r="A209" s="209" t="s">
        <v>1114</v>
      </c>
      <c r="B209" s="209" t="s">
        <v>193</v>
      </c>
      <c r="C209" t="s">
        <v>166</v>
      </c>
      <c r="D209" t="s">
        <v>889</v>
      </c>
      <c r="E209">
        <v>4544</v>
      </c>
      <c r="F209" t="s">
        <v>900</v>
      </c>
      <c r="G209" s="173" t="s">
        <v>74</v>
      </c>
      <c r="H209" s="173" t="s">
        <v>64</v>
      </c>
      <c r="I209" s="173" t="s">
        <v>26</v>
      </c>
      <c r="J209" s="175" t="str">
        <f t="shared" si="12"/>
        <v>Drawer FrontWide Traditional 4544Shaker 4544Portico Teak    8210-28</v>
      </c>
      <c r="K209" s="174" t="s">
        <v>965</v>
      </c>
    </row>
    <row r="210" spans="1:12" x14ac:dyDescent="0.35">
      <c r="A210" s="209" t="s">
        <v>879</v>
      </c>
      <c r="B210" s="209" t="s">
        <v>198</v>
      </c>
      <c r="C210" t="s">
        <v>166</v>
      </c>
      <c r="D210" t="s">
        <v>890</v>
      </c>
      <c r="E210">
        <v>4544</v>
      </c>
      <c r="F210" t="s">
        <v>901</v>
      </c>
      <c r="G210" s="173" t="s">
        <v>74</v>
      </c>
      <c r="H210" s="173" t="s">
        <v>64</v>
      </c>
      <c r="I210" s="173" t="s">
        <v>26</v>
      </c>
      <c r="J210" s="175" t="str">
        <f t="shared" si="12"/>
        <v>Drawer FrontWide Traditional 4544Shaker 4544Pepperdust    D327-60</v>
      </c>
      <c r="K210" s="174" t="s">
        <v>966</v>
      </c>
    </row>
    <row r="211" spans="1:12" x14ac:dyDescent="0.35">
      <c r="A211" s="209" t="s">
        <v>230</v>
      </c>
      <c r="B211" s="209" t="s">
        <v>165</v>
      </c>
      <c r="C211" t="s">
        <v>166</v>
      </c>
      <c r="D211" t="s">
        <v>231</v>
      </c>
      <c r="E211">
        <v>4544</v>
      </c>
      <c r="F211" s="173" t="s">
        <v>12</v>
      </c>
      <c r="G211" s="173" t="s">
        <v>74</v>
      </c>
      <c r="H211" s="173" t="s">
        <v>64</v>
      </c>
      <c r="I211" s="173" t="s">
        <v>26</v>
      </c>
      <c r="J211" s="175" t="str">
        <f t="shared" si="6"/>
        <v>Drawer FrontWide Traditional 4544Shaker 4544Columbian Walnut  7943-07</v>
      </c>
      <c r="K211" s="174" t="s">
        <v>405</v>
      </c>
      <c r="L211" t="s">
        <v>404</v>
      </c>
    </row>
    <row r="212" spans="1:12" x14ac:dyDescent="0.35">
      <c r="A212" s="209" t="s">
        <v>234</v>
      </c>
      <c r="B212" s="209" t="s">
        <v>184</v>
      </c>
      <c r="C212" t="s">
        <v>166</v>
      </c>
      <c r="D212" t="s">
        <v>235</v>
      </c>
      <c r="E212">
        <v>4544</v>
      </c>
      <c r="F212" s="173" t="s">
        <v>131</v>
      </c>
      <c r="G212" s="173" t="s">
        <v>74</v>
      </c>
      <c r="H212" s="173" t="s">
        <v>64</v>
      </c>
      <c r="I212" s="173" t="s">
        <v>26</v>
      </c>
      <c r="J212" s="175" t="str">
        <f t="shared" si="6"/>
        <v>Drawer FrontWide Traditional 4544Shaker 4544Florence Walnut    7993-38</v>
      </c>
      <c r="K212" s="174" t="s">
        <v>407</v>
      </c>
      <c r="L212" t="s">
        <v>406</v>
      </c>
    </row>
    <row r="213" spans="1:12" x14ac:dyDescent="0.35">
      <c r="A213" s="209" t="s">
        <v>164</v>
      </c>
      <c r="B213" s="209" t="s">
        <v>165</v>
      </c>
      <c r="C213" t="s">
        <v>272</v>
      </c>
      <c r="D213" t="s">
        <v>167</v>
      </c>
      <c r="E213">
        <v>4544</v>
      </c>
      <c r="F213" s="173" t="s">
        <v>132</v>
      </c>
      <c r="G213" s="173" t="s">
        <v>74</v>
      </c>
      <c r="H213" s="173" t="s">
        <v>65</v>
      </c>
      <c r="I213" s="173" t="s">
        <v>14</v>
      </c>
      <c r="J213" s="175" t="str">
        <f t="shared" si="6"/>
        <v>DoorWide Traditional 4544Miter 4544Shaker Cherry       7935-07</v>
      </c>
      <c r="K213" s="174" t="s">
        <v>409</v>
      </c>
      <c r="L213" t="s">
        <v>408</v>
      </c>
    </row>
    <row r="214" spans="1:12" x14ac:dyDescent="0.35">
      <c r="A214" s="209" t="s">
        <v>170</v>
      </c>
      <c r="B214" s="209" t="s">
        <v>165</v>
      </c>
      <c r="C214" t="s">
        <v>272</v>
      </c>
      <c r="D214" t="s">
        <v>171</v>
      </c>
      <c r="E214">
        <v>4544</v>
      </c>
      <c r="F214" s="173" t="s">
        <v>133</v>
      </c>
      <c r="G214" s="173" t="s">
        <v>74</v>
      </c>
      <c r="H214" s="173" t="s">
        <v>65</v>
      </c>
      <c r="I214" s="173" t="s">
        <v>14</v>
      </c>
      <c r="J214" s="175" t="str">
        <f t="shared" si="6"/>
        <v>DoorWide Traditional 4544Miter 4544Cafelle 7933-07</v>
      </c>
      <c r="K214" s="174" t="s">
        <v>411</v>
      </c>
      <c r="L214" t="s">
        <v>410</v>
      </c>
    </row>
    <row r="215" spans="1:12" x14ac:dyDescent="0.35">
      <c r="A215" s="209" t="s">
        <v>174</v>
      </c>
      <c r="B215" s="209" t="s">
        <v>175</v>
      </c>
      <c r="C215" t="s">
        <v>272</v>
      </c>
      <c r="D215" t="s">
        <v>176</v>
      </c>
      <c r="E215">
        <v>4544</v>
      </c>
      <c r="F215" s="173" t="s">
        <v>123</v>
      </c>
      <c r="G215" s="173" t="s">
        <v>74</v>
      </c>
      <c r="H215" s="173" t="s">
        <v>65</v>
      </c>
      <c r="I215" s="173" t="s">
        <v>14</v>
      </c>
      <c r="J215" s="175" t="str">
        <f t="shared" si="6"/>
        <v>DoorWide Traditional 4544Miter 4544White Driftwood      8200-16</v>
      </c>
      <c r="K215" s="174" t="s">
        <v>413</v>
      </c>
      <c r="L215" t="s">
        <v>412</v>
      </c>
    </row>
    <row r="216" spans="1:12" x14ac:dyDescent="0.35">
      <c r="A216" s="209" t="s">
        <v>179</v>
      </c>
      <c r="B216" s="209" t="s">
        <v>175</v>
      </c>
      <c r="C216" t="s">
        <v>272</v>
      </c>
      <c r="D216" t="s">
        <v>180</v>
      </c>
      <c r="E216">
        <v>4544</v>
      </c>
      <c r="F216" s="173" t="s">
        <v>124</v>
      </c>
      <c r="G216" s="173" t="s">
        <v>74</v>
      </c>
      <c r="H216" s="173" t="s">
        <v>65</v>
      </c>
      <c r="I216" s="173" t="s">
        <v>14</v>
      </c>
      <c r="J216" s="175" t="str">
        <f t="shared" si="6"/>
        <v>DoorWide Traditional 4544Miter 4544Weathered Char     8204-16</v>
      </c>
      <c r="K216" s="174" t="s">
        <v>415</v>
      </c>
      <c r="L216" t="s">
        <v>414</v>
      </c>
    </row>
    <row r="217" spans="1:12" x14ac:dyDescent="0.35">
      <c r="A217" s="209" t="s">
        <v>183</v>
      </c>
      <c r="B217" s="209" t="s">
        <v>184</v>
      </c>
      <c r="C217" t="s">
        <v>272</v>
      </c>
      <c r="D217" t="s">
        <v>185</v>
      </c>
      <c r="E217">
        <v>4544</v>
      </c>
      <c r="F217" s="173" t="s">
        <v>134</v>
      </c>
      <c r="G217" s="173" t="s">
        <v>74</v>
      </c>
      <c r="H217" s="173" t="s">
        <v>65</v>
      </c>
      <c r="I217" s="173" t="s">
        <v>14</v>
      </c>
      <c r="J217" s="175" t="str">
        <f t="shared" si="6"/>
        <v>DoorWide Traditional 4544Miter 4544Neowalnut 7991-38</v>
      </c>
      <c r="K217" s="174" t="s">
        <v>417</v>
      </c>
      <c r="L217" t="s">
        <v>416</v>
      </c>
    </row>
    <row r="218" spans="1:12" x14ac:dyDescent="0.35">
      <c r="A218" s="209" t="s">
        <v>188</v>
      </c>
      <c r="B218" s="209" t="s">
        <v>184</v>
      </c>
      <c r="C218" t="s">
        <v>272</v>
      </c>
      <c r="D218" t="s">
        <v>189</v>
      </c>
      <c r="E218">
        <v>4544</v>
      </c>
      <c r="F218" s="173" t="s">
        <v>135</v>
      </c>
      <c r="G218" s="173" t="s">
        <v>74</v>
      </c>
      <c r="H218" s="173" t="s">
        <v>65</v>
      </c>
      <c r="I218" s="173" t="s">
        <v>14</v>
      </c>
      <c r="J218" s="175" t="str">
        <f t="shared" si="6"/>
        <v>DoorWide Traditional 4544Miter 4544Ebony Recon        7997-38</v>
      </c>
      <c r="K218" s="174" t="s">
        <v>419</v>
      </c>
      <c r="L218" t="s">
        <v>418</v>
      </c>
    </row>
    <row r="219" spans="1:12" x14ac:dyDescent="0.35">
      <c r="A219" s="209" t="s">
        <v>192</v>
      </c>
      <c r="B219" s="209" t="s">
        <v>193</v>
      </c>
      <c r="C219" t="s">
        <v>272</v>
      </c>
      <c r="D219" t="s">
        <v>194</v>
      </c>
      <c r="E219">
        <v>4544</v>
      </c>
      <c r="F219" s="173" t="s">
        <v>36</v>
      </c>
      <c r="G219" s="173" t="s">
        <v>74</v>
      </c>
      <c r="H219" s="173" t="s">
        <v>65</v>
      </c>
      <c r="I219" s="173" t="s">
        <v>14</v>
      </c>
      <c r="J219" s="175" t="str">
        <f t="shared" si="6"/>
        <v>DoorWide Traditional 4544Miter 4544Phantom Charcoal  8214-28</v>
      </c>
      <c r="K219" s="174" t="s">
        <v>421</v>
      </c>
      <c r="L219" t="s">
        <v>420</v>
      </c>
    </row>
    <row r="220" spans="1:12" x14ac:dyDescent="0.35">
      <c r="A220" s="209" t="s">
        <v>197</v>
      </c>
      <c r="B220" s="209" t="s">
        <v>198</v>
      </c>
      <c r="C220" t="s">
        <v>272</v>
      </c>
      <c r="D220" t="s">
        <v>199</v>
      </c>
      <c r="E220">
        <v>4544</v>
      </c>
      <c r="F220" s="173" t="s">
        <v>11</v>
      </c>
      <c r="G220" s="173" t="s">
        <v>74</v>
      </c>
      <c r="H220" s="173" t="s">
        <v>65</v>
      </c>
      <c r="I220" s="173" t="s">
        <v>14</v>
      </c>
      <c r="J220" s="175" t="str">
        <f t="shared" si="6"/>
        <v>DoorWide Traditional 4544Miter 4544Linen  D427-60</v>
      </c>
      <c r="K220" s="174" t="s">
        <v>423</v>
      </c>
      <c r="L220" t="s">
        <v>422</v>
      </c>
    </row>
    <row r="221" spans="1:12" x14ac:dyDescent="0.35">
      <c r="A221" s="209" t="s">
        <v>202</v>
      </c>
      <c r="B221" s="209" t="s">
        <v>193</v>
      </c>
      <c r="C221" t="s">
        <v>272</v>
      </c>
      <c r="D221" t="s">
        <v>203</v>
      </c>
      <c r="E221">
        <v>4544</v>
      </c>
      <c r="F221" s="173" t="s">
        <v>136</v>
      </c>
      <c r="G221" s="173" t="s">
        <v>74</v>
      </c>
      <c r="H221" s="173" t="s">
        <v>65</v>
      </c>
      <c r="I221" s="173" t="s">
        <v>14</v>
      </c>
      <c r="J221" s="175" t="str">
        <f t="shared" si="6"/>
        <v>DoorWide Traditional 4544Miter 4544Phantom Pearl      8211-28</v>
      </c>
      <c r="K221" s="174" t="s">
        <v>425</v>
      </c>
      <c r="L221" t="s">
        <v>424</v>
      </c>
    </row>
    <row r="222" spans="1:12" x14ac:dyDescent="0.35">
      <c r="A222" s="209" t="s">
        <v>206</v>
      </c>
      <c r="B222" s="209" t="s">
        <v>193</v>
      </c>
      <c r="C222" t="s">
        <v>272</v>
      </c>
      <c r="D222" t="s">
        <v>207</v>
      </c>
      <c r="E222">
        <v>4544</v>
      </c>
      <c r="F222" s="173" t="s">
        <v>125</v>
      </c>
      <c r="G222" s="173" t="s">
        <v>74</v>
      </c>
      <c r="H222" s="173" t="s">
        <v>65</v>
      </c>
      <c r="I222" s="173" t="s">
        <v>14</v>
      </c>
      <c r="J222" s="175" t="str">
        <f t="shared" si="6"/>
        <v>DoorWide Traditional 4544Miter 4544Veranda Teak        8209-28</v>
      </c>
      <c r="K222" s="174" t="s">
        <v>427</v>
      </c>
      <c r="L222" t="s">
        <v>426</v>
      </c>
    </row>
    <row r="223" spans="1:12" x14ac:dyDescent="0.35">
      <c r="A223" s="209" t="s">
        <v>210</v>
      </c>
      <c r="B223" s="209" t="s">
        <v>175</v>
      </c>
      <c r="C223" t="s">
        <v>272</v>
      </c>
      <c r="D223" t="s">
        <v>211</v>
      </c>
      <c r="E223">
        <v>4544</v>
      </c>
      <c r="F223" s="173" t="s">
        <v>126</v>
      </c>
      <c r="G223" s="173" t="s">
        <v>74</v>
      </c>
      <c r="H223" s="173" t="s">
        <v>65</v>
      </c>
      <c r="I223" s="173" t="s">
        <v>14</v>
      </c>
      <c r="J223" s="175" t="str">
        <f t="shared" si="6"/>
        <v>DoorWide Traditional 4544Miter 4544Branded Oak         8207-16</v>
      </c>
      <c r="K223" s="174" t="s">
        <v>429</v>
      </c>
      <c r="L223" t="s">
        <v>428</v>
      </c>
    </row>
    <row r="224" spans="1:12" x14ac:dyDescent="0.35">
      <c r="A224" s="209" t="s">
        <v>214</v>
      </c>
      <c r="B224" s="209" t="s">
        <v>175</v>
      </c>
      <c r="C224" t="s">
        <v>272</v>
      </c>
      <c r="D224" t="s">
        <v>215</v>
      </c>
      <c r="E224">
        <v>4544</v>
      </c>
      <c r="F224" s="173" t="s">
        <v>127</v>
      </c>
      <c r="G224" s="173" t="s">
        <v>74</v>
      </c>
      <c r="H224" s="173" t="s">
        <v>65</v>
      </c>
      <c r="I224" s="173" t="s">
        <v>14</v>
      </c>
      <c r="J224" s="175" t="str">
        <f t="shared" si="6"/>
        <v>DoorWide Traditional 4544Miter 4544Saddle Oak           8206-16</v>
      </c>
      <c r="K224" s="174" t="s">
        <v>431</v>
      </c>
      <c r="L224" t="s">
        <v>430</v>
      </c>
    </row>
    <row r="225" spans="1:12" x14ac:dyDescent="0.35">
      <c r="A225" s="209" t="s">
        <v>218</v>
      </c>
      <c r="B225" s="209" t="s">
        <v>193</v>
      </c>
      <c r="C225" t="s">
        <v>272</v>
      </c>
      <c r="D225" t="s">
        <v>219</v>
      </c>
      <c r="E225">
        <v>4544</v>
      </c>
      <c r="F225" s="173" t="s">
        <v>129</v>
      </c>
      <c r="G225" s="173" t="s">
        <v>74</v>
      </c>
      <c r="H225" s="173" t="s">
        <v>65</v>
      </c>
      <c r="I225" s="173" t="s">
        <v>14</v>
      </c>
      <c r="J225" s="175" t="str">
        <f t="shared" si="6"/>
        <v>DoorWide Traditional 4544Miter 4544Phantom Ecru       8212-28</v>
      </c>
      <c r="K225" s="174" t="s">
        <v>433</v>
      </c>
      <c r="L225" t="s">
        <v>432</v>
      </c>
    </row>
    <row r="226" spans="1:12" x14ac:dyDescent="0.35">
      <c r="A226" s="209" t="s">
        <v>222</v>
      </c>
      <c r="B226" s="209" t="s">
        <v>175</v>
      </c>
      <c r="C226" t="s">
        <v>272</v>
      </c>
      <c r="D226" t="s">
        <v>223</v>
      </c>
      <c r="E226">
        <v>4544</v>
      </c>
      <c r="F226" s="173" t="s">
        <v>128</v>
      </c>
      <c r="G226" s="173" t="s">
        <v>74</v>
      </c>
      <c r="H226" s="173" t="s">
        <v>65</v>
      </c>
      <c r="I226" s="173" t="s">
        <v>14</v>
      </c>
      <c r="J226" s="175" t="str">
        <f t="shared" si="6"/>
        <v>DoorWide Traditional 4544Miter 4544Fawn Cypress       8208-16</v>
      </c>
      <c r="K226" s="174" t="s">
        <v>435</v>
      </c>
      <c r="L226" t="s">
        <v>434</v>
      </c>
    </row>
    <row r="227" spans="1:12" x14ac:dyDescent="0.35">
      <c r="A227" s="209" t="s">
        <v>226</v>
      </c>
      <c r="B227" s="209" t="s">
        <v>184</v>
      </c>
      <c r="C227" t="s">
        <v>272</v>
      </c>
      <c r="D227" t="s">
        <v>227</v>
      </c>
      <c r="E227">
        <v>4544</v>
      </c>
      <c r="F227" s="173" t="s">
        <v>130</v>
      </c>
      <c r="G227" s="173" t="s">
        <v>74</v>
      </c>
      <c r="H227" s="173" t="s">
        <v>65</v>
      </c>
      <c r="I227" s="173" t="s">
        <v>14</v>
      </c>
      <c r="J227" s="175" t="str">
        <f t="shared" si="6"/>
        <v>DoorWide Traditional 4544Miter 4544River Cherry          7937-38</v>
      </c>
      <c r="K227" s="174" t="s">
        <v>437</v>
      </c>
      <c r="L227" t="s">
        <v>436</v>
      </c>
    </row>
    <row r="228" spans="1:12" x14ac:dyDescent="0.35">
      <c r="A228" s="209" t="s">
        <v>1183</v>
      </c>
      <c r="B228" s="209" t="s">
        <v>1184</v>
      </c>
      <c r="C228" t="s">
        <v>272</v>
      </c>
      <c r="D228" s="210" t="s">
        <v>1185</v>
      </c>
      <c r="E228">
        <v>4544</v>
      </c>
      <c r="F228" s="211" t="s">
        <v>1201</v>
      </c>
      <c r="G228" s="173" t="s">
        <v>74</v>
      </c>
      <c r="H228" s="173" t="s">
        <v>65</v>
      </c>
      <c r="I228" s="173" t="s">
        <v>14</v>
      </c>
      <c r="J228" s="175" t="str">
        <f t="shared" ref="J228:J234" si="13">CONCATENATE(I228,G228,H228,F228)</f>
        <v>DoorWide Traditional 4544Miter 4544Akira                     8233-05</v>
      </c>
      <c r="K228" s="174" t="s">
        <v>1247</v>
      </c>
    </row>
    <row r="229" spans="1:12" x14ac:dyDescent="0.35">
      <c r="A229" s="209" t="s">
        <v>1186</v>
      </c>
      <c r="B229" s="209" t="s">
        <v>1184</v>
      </c>
      <c r="C229" t="s">
        <v>272</v>
      </c>
      <c r="D229" s="210" t="s">
        <v>1187</v>
      </c>
      <c r="E229">
        <v>4544</v>
      </c>
      <c r="F229" s="211" t="s">
        <v>1200</v>
      </c>
      <c r="G229" s="173" t="s">
        <v>74</v>
      </c>
      <c r="H229" s="173" t="s">
        <v>65</v>
      </c>
      <c r="I229" s="173" t="s">
        <v>14</v>
      </c>
      <c r="J229" s="175" t="str">
        <f t="shared" si="13"/>
        <v>DoorWide Traditional 4544Miter 4544Belair                    8234-05</v>
      </c>
      <c r="K229" s="174" t="s">
        <v>1248</v>
      </c>
    </row>
    <row r="230" spans="1:12" x14ac:dyDescent="0.35">
      <c r="A230" s="209" t="s">
        <v>1188</v>
      </c>
      <c r="B230" s="209" t="s">
        <v>1184</v>
      </c>
      <c r="C230" t="s">
        <v>272</v>
      </c>
      <c r="D230" s="210" t="s">
        <v>1189</v>
      </c>
      <c r="E230">
        <v>4544</v>
      </c>
      <c r="F230" s="211" t="s">
        <v>1198</v>
      </c>
      <c r="G230" s="173" t="s">
        <v>74</v>
      </c>
      <c r="H230" s="173" t="s">
        <v>65</v>
      </c>
      <c r="I230" s="173" t="s">
        <v>14</v>
      </c>
      <c r="J230" s="175" t="str">
        <f t="shared" si="13"/>
        <v>DoorWide Traditional 4544Miter 4544Daintree               8235-05</v>
      </c>
      <c r="K230" s="174" t="s">
        <v>1249</v>
      </c>
    </row>
    <row r="231" spans="1:12" x14ac:dyDescent="0.35">
      <c r="A231" s="209" t="s">
        <v>1190</v>
      </c>
      <c r="B231" s="209" t="s">
        <v>1184</v>
      </c>
      <c r="C231" t="s">
        <v>272</v>
      </c>
      <c r="D231" s="210" t="s">
        <v>1191</v>
      </c>
      <c r="E231">
        <v>4544</v>
      </c>
      <c r="F231" s="211" t="s">
        <v>1199</v>
      </c>
      <c r="G231" s="173" t="s">
        <v>74</v>
      </c>
      <c r="H231" s="173" t="s">
        <v>65</v>
      </c>
      <c r="I231" s="173" t="s">
        <v>14</v>
      </c>
      <c r="J231" s="175" t="str">
        <f t="shared" si="13"/>
        <v>DoorWide Traditional 4544Miter 4544Monteverdi          8236-05</v>
      </c>
      <c r="K231" s="174" t="s">
        <v>1250</v>
      </c>
    </row>
    <row r="232" spans="1:12" x14ac:dyDescent="0.35">
      <c r="A232" s="209" t="s">
        <v>1192</v>
      </c>
      <c r="B232" s="209" t="s">
        <v>1184</v>
      </c>
      <c r="C232" t="s">
        <v>272</v>
      </c>
      <c r="D232" s="210" t="s">
        <v>1193</v>
      </c>
      <c r="E232">
        <v>4544</v>
      </c>
      <c r="F232" s="211" t="s">
        <v>1202</v>
      </c>
      <c r="G232" s="173" t="s">
        <v>74</v>
      </c>
      <c r="H232" s="173" t="s">
        <v>65</v>
      </c>
      <c r="I232" s="173" t="s">
        <v>14</v>
      </c>
      <c r="J232" s="175" t="str">
        <f t="shared" si="13"/>
        <v>DoorWide Traditional 4544Miter 4544Great Bear           8237-05</v>
      </c>
      <c r="K232" s="174" t="s">
        <v>1251</v>
      </c>
    </row>
    <row r="233" spans="1:12" x14ac:dyDescent="0.35">
      <c r="A233" s="209" t="s">
        <v>1194</v>
      </c>
      <c r="B233" s="209" t="s">
        <v>1184</v>
      </c>
      <c r="C233" t="s">
        <v>272</v>
      </c>
      <c r="D233" s="210" t="s">
        <v>1195</v>
      </c>
      <c r="E233">
        <v>4544</v>
      </c>
      <c r="F233" s="211" t="s">
        <v>1203</v>
      </c>
      <c r="G233" s="173" t="s">
        <v>74</v>
      </c>
      <c r="H233" s="173" t="s">
        <v>65</v>
      </c>
      <c r="I233" s="173" t="s">
        <v>14</v>
      </c>
      <c r="J233" s="175" t="str">
        <f t="shared" si="13"/>
        <v>DoorWide Traditional 4544Miter 4544Fairchild               8238-05</v>
      </c>
      <c r="K233" s="174" t="s">
        <v>1252</v>
      </c>
    </row>
    <row r="234" spans="1:12" x14ac:dyDescent="0.35">
      <c r="A234" s="209" t="s">
        <v>1196</v>
      </c>
      <c r="B234" s="209" t="s">
        <v>198</v>
      </c>
      <c r="C234" t="s">
        <v>272</v>
      </c>
      <c r="D234" s="210" t="s">
        <v>1197</v>
      </c>
      <c r="E234">
        <v>4544</v>
      </c>
      <c r="F234" s="211" t="s">
        <v>1204</v>
      </c>
      <c r="G234" s="173" t="s">
        <v>74</v>
      </c>
      <c r="H234" s="173" t="s">
        <v>65</v>
      </c>
      <c r="I234" s="173" t="s">
        <v>14</v>
      </c>
      <c r="J234" s="175" t="str">
        <f t="shared" si="13"/>
        <v>DoorWide Traditional 4544Miter 4544Indigo                   D379-60</v>
      </c>
      <c r="K234" s="174" t="s">
        <v>1253</v>
      </c>
    </row>
    <row r="235" spans="1:12" x14ac:dyDescent="0.35">
      <c r="A235" s="209" t="s">
        <v>1106</v>
      </c>
      <c r="B235" s="209" t="s">
        <v>1115</v>
      </c>
      <c r="C235" t="s">
        <v>272</v>
      </c>
      <c r="D235" t="s">
        <v>880</v>
      </c>
      <c r="E235">
        <v>4544</v>
      </c>
      <c r="F235" t="s">
        <v>891</v>
      </c>
      <c r="G235" s="173" t="s">
        <v>74</v>
      </c>
      <c r="H235" s="173" t="s">
        <v>65</v>
      </c>
      <c r="I235" s="173" t="s">
        <v>14</v>
      </c>
      <c r="J235" s="175" t="str">
        <f t="shared" ref="J235:J245" si="14">CONCATENATE(I235,G235,H235,F235)</f>
        <v>DoorWide Traditional 4544Miter 4544White Cypress    7976-79</v>
      </c>
      <c r="K235" s="174" t="s">
        <v>967</v>
      </c>
    </row>
    <row r="236" spans="1:12" x14ac:dyDescent="0.35">
      <c r="A236" s="209" t="s">
        <v>1107</v>
      </c>
      <c r="B236" s="209" t="s">
        <v>1115</v>
      </c>
      <c r="C236" t="s">
        <v>272</v>
      </c>
      <c r="D236" t="s">
        <v>881</v>
      </c>
      <c r="E236">
        <v>4544</v>
      </c>
      <c r="F236" t="s">
        <v>892</v>
      </c>
      <c r="G236" s="173" t="s">
        <v>74</v>
      </c>
      <c r="H236" s="173" t="s">
        <v>65</v>
      </c>
      <c r="I236" s="173" t="s">
        <v>14</v>
      </c>
      <c r="J236" s="175" t="str">
        <f t="shared" si="14"/>
        <v>DoorWide Traditional 4544Miter 4544Randolph Forest    8225-79</v>
      </c>
      <c r="K236" s="174" t="s">
        <v>968</v>
      </c>
    </row>
    <row r="237" spans="1:12" x14ac:dyDescent="0.35">
      <c r="A237" s="209" t="s">
        <v>1108</v>
      </c>
      <c r="B237" s="209" t="s">
        <v>1115</v>
      </c>
      <c r="C237" t="s">
        <v>272</v>
      </c>
      <c r="D237" t="s">
        <v>882</v>
      </c>
      <c r="E237">
        <v>4544</v>
      </c>
      <c r="F237" t="s">
        <v>893</v>
      </c>
      <c r="G237" s="173" t="s">
        <v>74</v>
      </c>
      <c r="H237" s="173" t="s">
        <v>65</v>
      </c>
      <c r="I237" s="173" t="s">
        <v>14</v>
      </c>
      <c r="J237" s="175" t="str">
        <f t="shared" si="14"/>
        <v>DoorWide Traditional 4544Miter 4544Dering Forest    8226-79</v>
      </c>
      <c r="K237" s="174" t="s">
        <v>969</v>
      </c>
    </row>
    <row r="238" spans="1:12" x14ac:dyDescent="0.35">
      <c r="A238" s="209" t="s">
        <v>1109</v>
      </c>
      <c r="B238" s="209" t="s">
        <v>1115</v>
      </c>
      <c r="C238" t="s">
        <v>272</v>
      </c>
      <c r="D238" t="s">
        <v>883</v>
      </c>
      <c r="E238">
        <v>4544</v>
      </c>
      <c r="F238" t="s">
        <v>894</v>
      </c>
      <c r="G238" s="173" t="s">
        <v>74</v>
      </c>
      <c r="H238" s="173" t="s">
        <v>65</v>
      </c>
      <c r="I238" s="173" t="s">
        <v>14</v>
      </c>
      <c r="J238" s="175" t="str">
        <f t="shared" si="14"/>
        <v>DoorWide Traditional 4544Miter 4544White River Forest    8227-79</v>
      </c>
      <c r="K238" s="174" t="s">
        <v>970</v>
      </c>
    </row>
    <row r="239" spans="1:12" x14ac:dyDescent="0.35">
      <c r="A239" s="209" t="s">
        <v>1110</v>
      </c>
      <c r="B239" s="209" t="s">
        <v>1115</v>
      </c>
      <c r="C239" t="s">
        <v>272</v>
      </c>
      <c r="D239" t="s">
        <v>884</v>
      </c>
      <c r="E239">
        <v>4544</v>
      </c>
      <c r="F239" t="s">
        <v>895</v>
      </c>
      <c r="G239" s="173" t="s">
        <v>74</v>
      </c>
      <c r="H239" s="173" t="s">
        <v>65</v>
      </c>
      <c r="I239" s="173" t="s">
        <v>14</v>
      </c>
      <c r="J239" s="175" t="str">
        <f t="shared" si="14"/>
        <v>DoorWide Traditional 4544Miter 4544Avondale Ash    8228-79</v>
      </c>
      <c r="K239" s="174" t="s">
        <v>971</v>
      </c>
    </row>
    <row r="240" spans="1:12" x14ac:dyDescent="0.35">
      <c r="A240" s="209" t="s">
        <v>1111</v>
      </c>
      <c r="B240" s="209" t="s">
        <v>1115</v>
      </c>
      <c r="C240" t="s">
        <v>272</v>
      </c>
      <c r="D240" t="s">
        <v>885</v>
      </c>
      <c r="E240">
        <v>4544</v>
      </c>
      <c r="F240" t="s">
        <v>896</v>
      </c>
      <c r="G240" s="173" t="s">
        <v>74</v>
      </c>
      <c r="H240" s="173" t="s">
        <v>65</v>
      </c>
      <c r="I240" s="173" t="s">
        <v>14</v>
      </c>
      <c r="J240" s="175" t="str">
        <f t="shared" si="14"/>
        <v>DoorWide Traditional 4544Miter 4544Friston Ash    8229-79</v>
      </c>
      <c r="K240" s="174" t="s">
        <v>972</v>
      </c>
    </row>
    <row r="241" spans="1:12" x14ac:dyDescent="0.35">
      <c r="A241" s="209" t="s">
        <v>1112</v>
      </c>
      <c r="B241" s="209" t="s">
        <v>1115</v>
      </c>
      <c r="C241" t="s">
        <v>272</v>
      </c>
      <c r="D241" t="s">
        <v>886</v>
      </c>
      <c r="E241">
        <v>4544</v>
      </c>
      <c r="F241" t="s">
        <v>897</v>
      </c>
      <c r="G241" s="173" t="s">
        <v>74</v>
      </c>
      <c r="H241" s="173" t="s">
        <v>65</v>
      </c>
      <c r="I241" s="173" t="s">
        <v>14</v>
      </c>
      <c r="J241" s="175" t="str">
        <f t="shared" si="14"/>
        <v>DoorWide Traditional 4544Miter 4544Valley Forge Elm    8231-79</v>
      </c>
      <c r="K241" s="174" t="s">
        <v>973</v>
      </c>
    </row>
    <row r="242" spans="1:12" x14ac:dyDescent="0.35">
      <c r="A242" s="209" t="s">
        <v>1113</v>
      </c>
      <c r="B242" s="209" t="s">
        <v>193</v>
      </c>
      <c r="C242" t="s">
        <v>272</v>
      </c>
      <c r="D242" t="s">
        <v>887</v>
      </c>
      <c r="E242">
        <v>4544</v>
      </c>
      <c r="F242" t="s">
        <v>898</v>
      </c>
      <c r="G242" s="173" t="s">
        <v>74</v>
      </c>
      <c r="H242" s="173" t="s">
        <v>65</v>
      </c>
      <c r="I242" s="173" t="s">
        <v>14</v>
      </c>
      <c r="J242" s="175" t="str">
        <f t="shared" si="14"/>
        <v>DoorWide Traditional 4544Miter 4544High Line    7970-28</v>
      </c>
      <c r="K242" s="174" t="s">
        <v>974</v>
      </c>
    </row>
    <row r="243" spans="1:12" x14ac:dyDescent="0.35">
      <c r="A243" s="209" t="s">
        <v>183</v>
      </c>
      <c r="B243" s="209" t="s">
        <v>193</v>
      </c>
      <c r="C243" t="s">
        <v>272</v>
      </c>
      <c r="D243" t="s">
        <v>888</v>
      </c>
      <c r="E243">
        <v>4544</v>
      </c>
      <c r="F243" t="s">
        <v>899</v>
      </c>
      <c r="G243" s="173" t="s">
        <v>74</v>
      </c>
      <c r="H243" s="173" t="s">
        <v>65</v>
      </c>
      <c r="I243" s="173" t="s">
        <v>14</v>
      </c>
      <c r="J243" s="175" t="str">
        <f t="shared" si="14"/>
        <v>DoorWide Traditional 4544Miter 4544Neowalnut    7991-28</v>
      </c>
      <c r="K243" s="174" t="s">
        <v>975</v>
      </c>
    </row>
    <row r="244" spans="1:12" x14ac:dyDescent="0.35">
      <c r="A244" s="209" t="s">
        <v>1114</v>
      </c>
      <c r="B244" s="209" t="s">
        <v>193</v>
      </c>
      <c r="C244" t="s">
        <v>272</v>
      </c>
      <c r="D244" t="s">
        <v>889</v>
      </c>
      <c r="E244">
        <v>4544</v>
      </c>
      <c r="F244" t="s">
        <v>900</v>
      </c>
      <c r="G244" s="173" t="s">
        <v>74</v>
      </c>
      <c r="H244" s="173" t="s">
        <v>65</v>
      </c>
      <c r="I244" s="173" t="s">
        <v>14</v>
      </c>
      <c r="J244" s="175" t="str">
        <f t="shared" si="14"/>
        <v>DoorWide Traditional 4544Miter 4544Portico Teak    8210-28</v>
      </c>
      <c r="K244" s="174" t="s">
        <v>976</v>
      </c>
    </row>
    <row r="245" spans="1:12" x14ac:dyDescent="0.35">
      <c r="A245" s="209" t="s">
        <v>879</v>
      </c>
      <c r="B245" s="209" t="s">
        <v>198</v>
      </c>
      <c r="C245" t="s">
        <v>272</v>
      </c>
      <c r="D245" t="s">
        <v>890</v>
      </c>
      <c r="E245">
        <v>4544</v>
      </c>
      <c r="F245" t="s">
        <v>901</v>
      </c>
      <c r="G245" s="173" t="s">
        <v>74</v>
      </c>
      <c r="H245" s="173" t="s">
        <v>65</v>
      </c>
      <c r="I245" s="173" t="s">
        <v>14</v>
      </c>
      <c r="J245" s="175" t="str">
        <f t="shared" si="14"/>
        <v>DoorWide Traditional 4544Miter 4544Pepperdust    D327-60</v>
      </c>
      <c r="K245" s="174" t="s">
        <v>977</v>
      </c>
    </row>
    <row r="246" spans="1:12" x14ac:dyDescent="0.35">
      <c r="A246" s="209" t="s">
        <v>230</v>
      </c>
      <c r="B246" s="209" t="s">
        <v>165</v>
      </c>
      <c r="C246" t="s">
        <v>272</v>
      </c>
      <c r="D246" t="s">
        <v>231</v>
      </c>
      <c r="E246">
        <v>4544</v>
      </c>
      <c r="F246" s="173" t="s">
        <v>12</v>
      </c>
      <c r="G246" s="173" t="s">
        <v>74</v>
      </c>
      <c r="H246" s="173" t="s">
        <v>65</v>
      </c>
      <c r="I246" s="173" t="s">
        <v>14</v>
      </c>
      <c r="J246" s="175" t="str">
        <f t="shared" si="6"/>
        <v>DoorWide Traditional 4544Miter 4544Columbian Walnut  7943-07</v>
      </c>
      <c r="K246" s="174" t="s">
        <v>439</v>
      </c>
      <c r="L246" t="s">
        <v>438</v>
      </c>
    </row>
    <row r="247" spans="1:12" x14ac:dyDescent="0.35">
      <c r="A247" s="209" t="s">
        <v>234</v>
      </c>
      <c r="B247" s="209" t="s">
        <v>184</v>
      </c>
      <c r="C247" t="s">
        <v>272</v>
      </c>
      <c r="D247" t="s">
        <v>235</v>
      </c>
      <c r="E247">
        <v>4544</v>
      </c>
      <c r="F247" s="173" t="s">
        <v>131</v>
      </c>
      <c r="G247" s="173" t="s">
        <v>74</v>
      </c>
      <c r="H247" s="173" t="s">
        <v>65</v>
      </c>
      <c r="I247" s="173" t="s">
        <v>14</v>
      </c>
      <c r="J247" s="175" t="str">
        <f t="shared" si="6"/>
        <v>DoorWide Traditional 4544Miter 4544Florence Walnut    7993-38</v>
      </c>
      <c r="K247" s="174" t="s">
        <v>441</v>
      </c>
      <c r="L247" t="s">
        <v>440</v>
      </c>
    </row>
    <row r="248" spans="1:12" x14ac:dyDescent="0.35">
      <c r="A248" s="209" t="s">
        <v>164</v>
      </c>
      <c r="B248" s="209" t="s">
        <v>165</v>
      </c>
      <c r="C248" t="s">
        <v>272</v>
      </c>
      <c r="D248" t="s">
        <v>167</v>
      </c>
      <c r="E248">
        <v>4544</v>
      </c>
      <c r="F248" s="173" t="s">
        <v>132</v>
      </c>
      <c r="G248" s="173" t="s">
        <v>74</v>
      </c>
      <c r="H248" s="173" t="s">
        <v>65</v>
      </c>
      <c r="I248" s="173" t="s">
        <v>26</v>
      </c>
      <c r="J248" s="175" t="str">
        <f t="shared" si="6"/>
        <v>Drawer FrontWide Traditional 4544Miter 4544Shaker Cherry       7935-07</v>
      </c>
      <c r="K248" s="174" t="s">
        <v>443</v>
      </c>
      <c r="L248" t="s">
        <v>442</v>
      </c>
    </row>
    <row r="249" spans="1:12" x14ac:dyDescent="0.35">
      <c r="A249" s="209" t="s">
        <v>170</v>
      </c>
      <c r="B249" s="209" t="s">
        <v>165</v>
      </c>
      <c r="C249" t="s">
        <v>272</v>
      </c>
      <c r="D249" t="s">
        <v>171</v>
      </c>
      <c r="E249">
        <v>4544</v>
      </c>
      <c r="F249" s="173" t="s">
        <v>133</v>
      </c>
      <c r="G249" s="173" t="s">
        <v>74</v>
      </c>
      <c r="H249" s="173" t="s">
        <v>65</v>
      </c>
      <c r="I249" s="173" t="s">
        <v>26</v>
      </c>
      <c r="J249" s="175" t="str">
        <f t="shared" si="6"/>
        <v>Drawer FrontWide Traditional 4544Miter 4544Cafelle 7933-07</v>
      </c>
      <c r="K249" s="174" t="s">
        <v>445</v>
      </c>
      <c r="L249" t="s">
        <v>444</v>
      </c>
    </row>
    <row r="250" spans="1:12" x14ac:dyDescent="0.35">
      <c r="A250" s="209" t="s">
        <v>174</v>
      </c>
      <c r="B250" s="209" t="s">
        <v>175</v>
      </c>
      <c r="C250" t="s">
        <v>272</v>
      </c>
      <c r="D250" t="s">
        <v>176</v>
      </c>
      <c r="E250">
        <v>4544</v>
      </c>
      <c r="F250" s="173" t="s">
        <v>123</v>
      </c>
      <c r="G250" s="173" t="s">
        <v>74</v>
      </c>
      <c r="H250" s="173" t="s">
        <v>65</v>
      </c>
      <c r="I250" s="173" t="s">
        <v>26</v>
      </c>
      <c r="J250" s="175" t="str">
        <f t="shared" si="6"/>
        <v>Drawer FrontWide Traditional 4544Miter 4544White Driftwood      8200-16</v>
      </c>
      <c r="K250" s="174" t="s">
        <v>447</v>
      </c>
      <c r="L250" t="s">
        <v>446</v>
      </c>
    </row>
    <row r="251" spans="1:12" x14ac:dyDescent="0.35">
      <c r="A251" s="209" t="s">
        <v>179</v>
      </c>
      <c r="B251" s="209" t="s">
        <v>175</v>
      </c>
      <c r="C251" t="s">
        <v>272</v>
      </c>
      <c r="D251" t="s">
        <v>180</v>
      </c>
      <c r="E251">
        <v>4544</v>
      </c>
      <c r="F251" s="173" t="s">
        <v>124</v>
      </c>
      <c r="G251" s="173" t="s">
        <v>74</v>
      </c>
      <c r="H251" s="173" t="s">
        <v>65</v>
      </c>
      <c r="I251" s="173" t="s">
        <v>26</v>
      </c>
      <c r="J251" s="175" t="str">
        <f t="shared" si="6"/>
        <v>Drawer FrontWide Traditional 4544Miter 4544Weathered Char     8204-16</v>
      </c>
      <c r="K251" s="174" t="s">
        <v>449</v>
      </c>
      <c r="L251" t="s">
        <v>448</v>
      </c>
    </row>
    <row r="252" spans="1:12" x14ac:dyDescent="0.35">
      <c r="A252" s="209" t="s">
        <v>183</v>
      </c>
      <c r="B252" s="209" t="s">
        <v>184</v>
      </c>
      <c r="C252" t="s">
        <v>272</v>
      </c>
      <c r="D252" t="s">
        <v>185</v>
      </c>
      <c r="E252">
        <v>4544</v>
      </c>
      <c r="F252" s="173" t="s">
        <v>134</v>
      </c>
      <c r="G252" s="173" t="s">
        <v>74</v>
      </c>
      <c r="H252" s="173" t="s">
        <v>65</v>
      </c>
      <c r="I252" s="173" t="s">
        <v>26</v>
      </c>
      <c r="J252" s="175" t="str">
        <f t="shared" si="6"/>
        <v>Drawer FrontWide Traditional 4544Miter 4544Neowalnut 7991-38</v>
      </c>
      <c r="K252" s="174" t="s">
        <v>451</v>
      </c>
      <c r="L252" t="s">
        <v>450</v>
      </c>
    </row>
    <row r="253" spans="1:12" x14ac:dyDescent="0.35">
      <c r="A253" s="209" t="s">
        <v>188</v>
      </c>
      <c r="B253" s="209" t="s">
        <v>184</v>
      </c>
      <c r="C253" t="s">
        <v>272</v>
      </c>
      <c r="D253" t="s">
        <v>189</v>
      </c>
      <c r="E253">
        <v>4544</v>
      </c>
      <c r="F253" s="173" t="s">
        <v>135</v>
      </c>
      <c r="G253" s="173" t="s">
        <v>74</v>
      </c>
      <c r="H253" s="173" t="s">
        <v>65</v>
      </c>
      <c r="I253" s="173" t="s">
        <v>26</v>
      </c>
      <c r="J253" s="175" t="str">
        <f t="shared" si="6"/>
        <v>Drawer FrontWide Traditional 4544Miter 4544Ebony Recon        7997-38</v>
      </c>
      <c r="K253" s="174" t="s">
        <v>453</v>
      </c>
      <c r="L253" t="s">
        <v>452</v>
      </c>
    </row>
    <row r="254" spans="1:12" x14ac:dyDescent="0.35">
      <c r="A254" s="209" t="s">
        <v>192</v>
      </c>
      <c r="B254" s="209" t="s">
        <v>193</v>
      </c>
      <c r="C254" t="s">
        <v>272</v>
      </c>
      <c r="D254" t="s">
        <v>194</v>
      </c>
      <c r="E254">
        <v>4544</v>
      </c>
      <c r="F254" s="173" t="s">
        <v>36</v>
      </c>
      <c r="G254" s="173" t="s">
        <v>74</v>
      </c>
      <c r="H254" s="173" t="s">
        <v>65</v>
      </c>
      <c r="I254" s="173" t="s">
        <v>26</v>
      </c>
      <c r="J254" s="175" t="str">
        <f t="shared" si="6"/>
        <v>Drawer FrontWide Traditional 4544Miter 4544Phantom Charcoal  8214-28</v>
      </c>
      <c r="K254" s="174" t="s">
        <v>455</v>
      </c>
      <c r="L254" t="s">
        <v>454</v>
      </c>
    </row>
    <row r="255" spans="1:12" x14ac:dyDescent="0.35">
      <c r="A255" s="209" t="s">
        <v>197</v>
      </c>
      <c r="B255" s="209" t="s">
        <v>198</v>
      </c>
      <c r="C255" t="s">
        <v>272</v>
      </c>
      <c r="D255" t="s">
        <v>199</v>
      </c>
      <c r="E255">
        <v>4544</v>
      </c>
      <c r="F255" s="173" t="s">
        <v>11</v>
      </c>
      <c r="G255" s="173" t="s">
        <v>74</v>
      </c>
      <c r="H255" s="173" t="s">
        <v>65</v>
      </c>
      <c r="I255" s="173" t="s">
        <v>26</v>
      </c>
      <c r="J255" s="175" t="str">
        <f t="shared" si="6"/>
        <v>Drawer FrontWide Traditional 4544Miter 4544Linen  D427-60</v>
      </c>
      <c r="K255" s="174" t="s">
        <v>457</v>
      </c>
      <c r="L255" t="s">
        <v>456</v>
      </c>
    </row>
    <row r="256" spans="1:12" x14ac:dyDescent="0.35">
      <c r="A256" s="209" t="s">
        <v>202</v>
      </c>
      <c r="B256" s="209" t="s">
        <v>193</v>
      </c>
      <c r="C256" t="s">
        <v>272</v>
      </c>
      <c r="D256" t="s">
        <v>203</v>
      </c>
      <c r="E256">
        <v>4544</v>
      </c>
      <c r="F256" s="173" t="s">
        <v>136</v>
      </c>
      <c r="G256" s="173" t="s">
        <v>74</v>
      </c>
      <c r="H256" s="173" t="s">
        <v>65</v>
      </c>
      <c r="I256" s="173" t="s">
        <v>26</v>
      </c>
      <c r="J256" s="175" t="str">
        <f t="shared" si="6"/>
        <v>Drawer FrontWide Traditional 4544Miter 4544Phantom Pearl      8211-28</v>
      </c>
      <c r="K256" s="174" t="s">
        <v>459</v>
      </c>
      <c r="L256" t="s">
        <v>458</v>
      </c>
    </row>
    <row r="257" spans="1:12" x14ac:dyDescent="0.35">
      <c r="A257" s="209" t="s">
        <v>206</v>
      </c>
      <c r="B257" s="209" t="s">
        <v>193</v>
      </c>
      <c r="C257" t="s">
        <v>272</v>
      </c>
      <c r="D257" t="s">
        <v>207</v>
      </c>
      <c r="E257">
        <v>4544</v>
      </c>
      <c r="F257" s="173" t="s">
        <v>125</v>
      </c>
      <c r="G257" s="173" t="s">
        <v>74</v>
      </c>
      <c r="H257" s="173" t="s">
        <v>65</v>
      </c>
      <c r="I257" s="173" t="s">
        <v>26</v>
      </c>
      <c r="J257" s="175" t="str">
        <f t="shared" ref="J257:J392" si="15">CONCATENATE(I257,G257,H257,F257)</f>
        <v>Drawer FrontWide Traditional 4544Miter 4544Veranda Teak        8209-28</v>
      </c>
      <c r="K257" s="174" t="s">
        <v>461</v>
      </c>
      <c r="L257" t="s">
        <v>460</v>
      </c>
    </row>
    <row r="258" spans="1:12" x14ac:dyDescent="0.35">
      <c r="A258" s="209" t="s">
        <v>210</v>
      </c>
      <c r="B258" s="209" t="s">
        <v>175</v>
      </c>
      <c r="C258" t="s">
        <v>272</v>
      </c>
      <c r="D258" t="s">
        <v>211</v>
      </c>
      <c r="E258">
        <v>4544</v>
      </c>
      <c r="F258" s="173" t="s">
        <v>126</v>
      </c>
      <c r="G258" s="173" t="s">
        <v>74</v>
      </c>
      <c r="H258" s="173" t="s">
        <v>65</v>
      </c>
      <c r="I258" s="173" t="s">
        <v>26</v>
      </c>
      <c r="J258" s="175" t="str">
        <f t="shared" si="15"/>
        <v>Drawer FrontWide Traditional 4544Miter 4544Branded Oak         8207-16</v>
      </c>
      <c r="K258" s="174" t="s">
        <v>463</v>
      </c>
      <c r="L258" t="s">
        <v>462</v>
      </c>
    </row>
    <row r="259" spans="1:12" x14ac:dyDescent="0.35">
      <c r="A259" s="209" t="s">
        <v>214</v>
      </c>
      <c r="B259" s="209" t="s">
        <v>175</v>
      </c>
      <c r="C259" t="s">
        <v>272</v>
      </c>
      <c r="D259" t="s">
        <v>215</v>
      </c>
      <c r="E259">
        <v>4544</v>
      </c>
      <c r="F259" s="173" t="s">
        <v>127</v>
      </c>
      <c r="G259" s="173" t="s">
        <v>74</v>
      </c>
      <c r="H259" s="173" t="s">
        <v>65</v>
      </c>
      <c r="I259" s="173" t="s">
        <v>26</v>
      </c>
      <c r="J259" s="175" t="str">
        <f t="shared" si="15"/>
        <v>Drawer FrontWide Traditional 4544Miter 4544Saddle Oak           8206-16</v>
      </c>
      <c r="K259" s="174" t="s">
        <v>465</v>
      </c>
      <c r="L259" t="s">
        <v>464</v>
      </c>
    </row>
    <row r="260" spans="1:12" x14ac:dyDescent="0.35">
      <c r="A260" s="209" t="s">
        <v>218</v>
      </c>
      <c r="B260" s="209" t="s">
        <v>193</v>
      </c>
      <c r="C260" t="s">
        <v>272</v>
      </c>
      <c r="D260" t="s">
        <v>219</v>
      </c>
      <c r="E260">
        <v>4544</v>
      </c>
      <c r="F260" s="173" t="s">
        <v>129</v>
      </c>
      <c r="G260" s="173" t="s">
        <v>74</v>
      </c>
      <c r="H260" s="173" t="s">
        <v>65</v>
      </c>
      <c r="I260" s="173" t="s">
        <v>26</v>
      </c>
      <c r="J260" s="175" t="str">
        <f t="shared" si="15"/>
        <v>Drawer FrontWide Traditional 4544Miter 4544Phantom Ecru       8212-28</v>
      </c>
      <c r="K260" s="174" t="s">
        <v>467</v>
      </c>
      <c r="L260" t="s">
        <v>466</v>
      </c>
    </row>
    <row r="261" spans="1:12" x14ac:dyDescent="0.35">
      <c r="A261" s="209" t="s">
        <v>222</v>
      </c>
      <c r="B261" s="209" t="s">
        <v>175</v>
      </c>
      <c r="C261" t="s">
        <v>272</v>
      </c>
      <c r="D261" t="s">
        <v>223</v>
      </c>
      <c r="E261">
        <v>4544</v>
      </c>
      <c r="F261" s="173" t="s">
        <v>128</v>
      </c>
      <c r="G261" s="173" t="s">
        <v>74</v>
      </c>
      <c r="H261" s="173" t="s">
        <v>65</v>
      </c>
      <c r="I261" s="173" t="s">
        <v>26</v>
      </c>
      <c r="J261" s="175" t="str">
        <f t="shared" si="15"/>
        <v>Drawer FrontWide Traditional 4544Miter 4544Fawn Cypress       8208-16</v>
      </c>
      <c r="K261" s="174" t="s">
        <v>469</v>
      </c>
      <c r="L261" t="s">
        <v>468</v>
      </c>
    </row>
    <row r="262" spans="1:12" x14ac:dyDescent="0.35">
      <c r="A262" s="209" t="s">
        <v>226</v>
      </c>
      <c r="B262" s="209" t="s">
        <v>184</v>
      </c>
      <c r="C262" t="s">
        <v>272</v>
      </c>
      <c r="D262" t="s">
        <v>227</v>
      </c>
      <c r="E262">
        <v>4544</v>
      </c>
      <c r="F262" s="173" t="s">
        <v>130</v>
      </c>
      <c r="G262" s="173" t="s">
        <v>74</v>
      </c>
      <c r="H262" s="173" t="s">
        <v>65</v>
      </c>
      <c r="I262" s="173" t="s">
        <v>26</v>
      </c>
      <c r="J262" s="175" t="str">
        <f t="shared" si="15"/>
        <v>Drawer FrontWide Traditional 4544Miter 4544River Cherry          7937-38</v>
      </c>
      <c r="K262" s="174" t="s">
        <v>471</v>
      </c>
      <c r="L262" t="s">
        <v>470</v>
      </c>
    </row>
    <row r="263" spans="1:12" x14ac:dyDescent="0.35">
      <c r="A263" s="209" t="s">
        <v>1183</v>
      </c>
      <c r="B263" s="209" t="s">
        <v>1184</v>
      </c>
      <c r="C263" t="s">
        <v>272</v>
      </c>
      <c r="D263" s="210" t="s">
        <v>1185</v>
      </c>
      <c r="E263">
        <v>4544</v>
      </c>
      <c r="F263" s="211" t="s">
        <v>1201</v>
      </c>
      <c r="G263" s="173" t="s">
        <v>74</v>
      </c>
      <c r="H263" s="173" t="s">
        <v>65</v>
      </c>
      <c r="I263" s="173" t="s">
        <v>26</v>
      </c>
      <c r="J263" s="175" t="str">
        <f t="shared" ref="J263:J269" si="16">CONCATENATE(I263,G263,H263,F263)</f>
        <v>Drawer FrontWide Traditional 4544Miter 4544Akira                     8233-05</v>
      </c>
      <c r="K263" s="174" t="s">
        <v>1254</v>
      </c>
    </row>
    <row r="264" spans="1:12" x14ac:dyDescent="0.35">
      <c r="A264" s="209" t="s">
        <v>1186</v>
      </c>
      <c r="B264" s="209" t="s">
        <v>1184</v>
      </c>
      <c r="C264" t="s">
        <v>272</v>
      </c>
      <c r="D264" s="210" t="s">
        <v>1187</v>
      </c>
      <c r="E264">
        <v>4544</v>
      </c>
      <c r="F264" s="211" t="s">
        <v>1200</v>
      </c>
      <c r="G264" s="173" t="s">
        <v>74</v>
      </c>
      <c r="H264" s="173" t="s">
        <v>65</v>
      </c>
      <c r="I264" s="173" t="s">
        <v>26</v>
      </c>
      <c r="J264" s="175" t="str">
        <f t="shared" si="16"/>
        <v>Drawer FrontWide Traditional 4544Miter 4544Belair                    8234-05</v>
      </c>
      <c r="K264" s="174" t="s">
        <v>1255</v>
      </c>
    </row>
    <row r="265" spans="1:12" x14ac:dyDescent="0.35">
      <c r="A265" s="209" t="s">
        <v>1188</v>
      </c>
      <c r="B265" s="209" t="s">
        <v>1184</v>
      </c>
      <c r="C265" t="s">
        <v>272</v>
      </c>
      <c r="D265" s="210" t="s">
        <v>1189</v>
      </c>
      <c r="E265">
        <v>4544</v>
      </c>
      <c r="F265" s="211" t="s">
        <v>1198</v>
      </c>
      <c r="G265" s="173" t="s">
        <v>74</v>
      </c>
      <c r="H265" s="173" t="s">
        <v>65</v>
      </c>
      <c r="I265" s="173" t="s">
        <v>26</v>
      </c>
      <c r="J265" s="175" t="str">
        <f t="shared" si="16"/>
        <v>Drawer FrontWide Traditional 4544Miter 4544Daintree               8235-05</v>
      </c>
      <c r="K265" s="174" t="s">
        <v>1256</v>
      </c>
    </row>
    <row r="266" spans="1:12" x14ac:dyDescent="0.35">
      <c r="A266" s="209" t="s">
        <v>1190</v>
      </c>
      <c r="B266" s="209" t="s">
        <v>1184</v>
      </c>
      <c r="C266" t="s">
        <v>272</v>
      </c>
      <c r="D266" s="210" t="s">
        <v>1191</v>
      </c>
      <c r="E266">
        <v>4544</v>
      </c>
      <c r="F266" s="211" t="s">
        <v>1199</v>
      </c>
      <c r="G266" s="173" t="s">
        <v>74</v>
      </c>
      <c r="H266" s="173" t="s">
        <v>65</v>
      </c>
      <c r="I266" s="173" t="s">
        <v>26</v>
      </c>
      <c r="J266" s="175" t="str">
        <f t="shared" si="16"/>
        <v>Drawer FrontWide Traditional 4544Miter 4544Monteverdi          8236-05</v>
      </c>
      <c r="K266" s="174" t="s">
        <v>1257</v>
      </c>
    </row>
    <row r="267" spans="1:12" x14ac:dyDescent="0.35">
      <c r="A267" s="209" t="s">
        <v>1192</v>
      </c>
      <c r="B267" s="209" t="s">
        <v>1184</v>
      </c>
      <c r="C267" t="s">
        <v>272</v>
      </c>
      <c r="D267" s="210" t="s">
        <v>1193</v>
      </c>
      <c r="E267">
        <v>4544</v>
      </c>
      <c r="F267" s="211" t="s">
        <v>1202</v>
      </c>
      <c r="G267" s="173" t="s">
        <v>74</v>
      </c>
      <c r="H267" s="173" t="s">
        <v>65</v>
      </c>
      <c r="I267" s="173" t="s">
        <v>26</v>
      </c>
      <c r="J267" s="175" t="str">
        <f t="shared" si="16"/>
        <v>Drawer FrontWide Traditional 4544Miter 4544Great Bear           8237-05</v>
      </c>
      <c r="K267" s="174" t="s">
        <v>1258</v>
      </c>
    </row>
    <row r="268" spans="1:12" x14ac:dyDescent="0.35">
      <c r="A268" s="209" t="s">
        <v>1194</v>
      </c>
      <c r="B268" s="209" t="s">
        <v>1184</v>
      </c>
      <c r="C268" t="s">
        <v>272</v>
      </c>
      <c r="D268" s="210" t="s">
        <v>1195</v>
      </c>
      <c r="E268">
        <v>4544</v>
      </c>
      <c r="F268" s="211" t="s">
        <v>1203</v>
      </c>
      <c r="G268" s="173" t="s">
        <v>74</v>
      </c>
      <c r="H268" s="173" t="s">
        <v>65</v>
      </c>
      <c r="I268" s="173" t="s">
        <v>26</v>
      </c>
      <c r="J268" s="175" t="str">
        <f t="shared" si="16"/>
        <v>Drawer FrontWide Traditional 4544Miter 4544Fairchild               8238-05</v>
      </c>
      <c r="K268" s="174" t="s">
        <v>1259</v>
      </c>
    </row>
    <row r="269" spans="1:12" x14ac:dyDescent="0.35">
      <c r="A269" s="209" t="s">
        <v>1196</v>
      </c>
      <c r="B269" s="209" t="s">
        <v>198</v>
      </c>
      <c r="C269" t="s">
        <v>272</v>
      </c>
      <c r="D269" s="210" t="s">
        <v>1197</v>
      </c>
      <c r="E269">
        <v>4544</v>
      </c>
      <c r="F269" s="211" t="s">
        <v>1204</v>
      </c>
      <c r="G269" s="173" t="s">
        <v>74</v>
      </c>
      <c r="H269" s="173" t="s">
        <v>65</v>
      </c>
      <c r="I269" s="173" t="s">
        <v>26</v>
      </c>
      <c r="J269" s="175" t="str">
        <f t="shared" si="16"/>
        <v>Drawer FrontWide Traditional 4544Miter 4544Indigo                   D379-60</v>
      </c>
      <c r="K269" s="174" t="s">
        <v>1260</v>
      </c>
    </row>
    <row r="270" spans="1:12" x14ac:dyDescent="0.35">
      <c r="A270" s="209" t="s">
        <v>1106</v>
      </c>
      <c r="B270" s="209" t="s">
        <v>1115</v>
      </c>
      <c r="C270" t="s">
        <v>272</v>
      </c>
      <c r="D270" t="s">
        <v>880</v>
      </c>
      <c r="E270">
        <v>4544</v>
      </c>
      <c r="F270" t="s">
        <v>891</v>
      </c>
      <c r="G270" s="173" t="s">
        <v>74</v>
      </c>
      <c r="H270" s="173" t="s">
        <v>65</v>
      </c>
      <c r="I270" s="173" t="s">
        <v>26</v>
      </c>
      <c r="J270" s="175" t="str">
        <f t="shared" ref="J270:J280" si="17">CONCATENATE(I270,G270,H270,F270)</f>
        <v>Drawer FrontWide Traditional 4544Miter 4544White Cypress    7976-79</v>
      </c>
      <c r="K270" s="174" t="s">
        <v>978</v>
      </c>
    </row>
    <row r="271" spans="1:12" x14ac:dyDescent="0.35">
      <c r="A271" s="209" t="s">
        <v>1107</v>
      </c>
      <c r="B271" s="209" t="s">
        <v>1115</v>
      </c>
      <c r="C271" t="s">
        <v>272</v>
      </c>
      <c r="D271" t="s">
        <v>881</v>
      </c>
      <c r="E271">
        <v>4544</v>
      </c>
      <c r="F271" t="s">
        <v>892</v>
      </c>
      <c r="G271" s="173" t="s">
        <v>74</v>
      </c>
      <c r="H271" s="173" t="s">
        <v>65</v>
      </c>
      <c r="I271" s="173" t="s">
        <v>26</v>
      </c>
      <c r="J271" s="175" t="str">
        <f t="shared" si="17"/>
        <v>Drawer FrontWide Traditional 4544Miter 4544Randolph Forest    8225-79</v>
      </c>
      <c r="K271" s="174" t="s">
        <v>979</v>
      </c>
    </row>
    <row r="272" spans="1:12" x14ac:dyDescent="0.35">
      <c r="A272" s="209" t="s">
        <v>1108</v>
      </c>
      <c r="B272" s="209" t="s">
        <v>1115</v>
      </c>
      <c r="C272" t="s">
        <v>272</v>
      </c>
      <c r="D272" t="s">
        <v>882</v>
      </c>
      <c r="E272">
        <v>4544</v>
      </c>
      <c r="F272" t="s">
        <v>893</v>
      </c>
      <c r="G272" s="173" t="s">
        <v>74</v>
      </c>
      <c r="H272" s="173" t="s">
        <v>65</v>
      </c>
      <c r="I272" s="173" t="s">
        <v>26</v>
      </c>
      <c r="J272" s="175" t="str">
        <f t="shared" si="17"/>
        <v>Drawer FrontWide Traditional 4544Miter 4544Dering Forest    8226-79</v>
      </c>
      <c r="K272" s="174" t="s">
        <v>980</v>
      </c>
    </row>
    <row r="273" spans="1:12" x14ac:dyDescent="0.35">
      <c r="A273" s="209" t="s">
        <v>1109</v>
      </c>
      <c r="B273" s="209" t="s">
        <v>1115</v>
      </c>
      <c r="C273" t="s">
        <v>272</v>
      </c>
      <c r="D273" t="s">
        <v>883</v>
      </c>
      <c r="E273">
        <v>4544</v>
      </c>
      <c r="F273" t="s">
        <v>894</v>
      </c>
      <c r="G273" s="173" t="s">
        <v>74</v>
      </c>
      <c r="H273" s="173" t="s">
        <v>65</v>
      </c>
      <c r="I273" s="173" t="s">
        <v>26</v>
      </c>
      <c r="J273" s="175" t="str">
        <f t="shared" si="17"/>
        <v>Drawer FrontWide Traditional 4544Miter 4544White River Forest    8227-79</v>
      </c>
      <c r="K273" s="174" t="s">
        <v>981</v>
      </c>
    </row>
    <row r="274" spans="1:12" x14ac:dyDescent="0.35">
      <c r="A274" s="209" t="s">
        <v>1110</v>
      </c>
      <c r="B274" s="209" t="s">
        <v>1115</v>
      </c>
      <c r="C274" t="s">
        <v>272</v>
      </c>
      <c r="D274" t="s">
        <v>884</v>
      </c>
      <c r="E274">
        <v>4544</v>
      </c>
      <c r="F274" t="s">
        <v>895</v>
      </c>
      <c r="G274" s="173" t="s">
        <v>74</v>
      </c>
      <c r="H274" s="173" t="s">
        <v>65</v>
      </c>
      <c r="I274" s="173" t="s">
        <v>26</v>
      </c>
      <c r="J274" s="175" t="str">
        <f t="shared" si="17"/>
        <v>Drawer FrontWide Traditional 4544Miter 4544Avondale Ash    8228-79</v>
      </c>
      <c r="K274" s="174" t="s">
        <v>982</v>
      </c>
    </row>
    <row r="275" spans="1:12" x14ac:dyDescent="0.35">
      <c r="A275" s="209" t="s">
        <v>1111</v>
      </c>
      <c r="B275" s="209" t="s">
        <v>1115</v>
      </c>
      <c r="C275" t="s">
        <v>272</v>
      </c>
      <c r="D275" t="s">
        <v>885</v>
      </c>
      <c r="E275">
        <v>4544</v>
      </c>
      <c r="F275" t="s">
        <v>896</v>
      </c>
      <c r="G275" s="173" t="s">
        <v>74</v>
      </c>
      <c r="H275" s="173" t="s">
        <v>65</v>
      </c>
      <c r="I275" s="173" t="s">
        <v>26</v>
      </c>
      <c r="J275" s="175" t="str">
        <f t="shared" si="17"/>
        <v>Drawer FrontWide Traditional 4544Miter 4544Friston Ash    8229-79</v>
      </c>
      <c r="K275" s="174" t="s">
        <v>983</v>
      </c>
    </row>
    <row r="276" spans="1:12" x14ac:dyDescent="0.35">
      <c r="A276" s="209" t="s">
        <v>1112</v>
      </c>
      <c r="B276" s="209" t="s">
        <v>1115</v>
      </c>
      <c r="C276" t="s">
        <v>272</v>
      </c>
      <c r="D276" t="s">
        <v>886</v>
      </c>
      <c r="E276">
        <v>4544</v>
      </c>
      <c r="F276" t="s">
        <v>897</v>
      </c>
      <c r="G276" s="173" t="s">
        <v>74</v>
      </c>
      <c r="H276" s="173" t="s">
        <v>65</v>
      </c>
      <c r="I276" s="173" t="s">
        <v>26</v>
      </c>
      <c r="J276" s="175" t="str">
        <f t="shared" si="17"/>
        <v>Drawer FrontWide Traditional 4544Miter 4544Valley Forge Elm    8231-79</v>
      </c>
      <c r="K276" s="174" t="s">
        <v>984</v>
      </c>
    </row>
    <row r="277" spans="1:12" x14ac:dyDescent="0.35">
      <c r="A277" s="209" t="s">
        <v>1113</v>
      </c>
      <c r="B277" s="209" t="s">
        <v>193</v>
      </c>
      <c r="C277" t="s">
        <v>272</v>
      </c>
      <c r="D277" t="s">
        <v>887</v>
      </c>
      <c r="E277">
        <v>4544</v>
      </c>
      <c r="F277" t="s">
        <v>898</v>
      </c>
      <c r="G277" s="173" t="s">
        <v>74</v>
      </c>
      <c r="H277" s="173" t="s">
        <v>65</v>
      </c>
      <c r="I277" s="173" t="s">
        <v>26</v>
      </c>
      <c r="J277" s="175" t="str">
        <f t="shared" si="17"/>
        <v>Drawer FrontWide Traditional 4544Miter 4544High Line    7970-28</v>
      </c>
      <c r="K277" s="174" t="s">
        <v>985</v>
      </c>
    </row>
    <row r="278" spans="1:12" x14ac:dyDescent="0.35">
      <c r="A278" s="209" t="s">
        <v>183</v>
      </c>
      <c r="B278" s="209" t="s">
        <v>193</v>
      </c>
      <c r="C278" t="s">
        <v>272</v>
      </c>
      <c r="D278" t="s">
        <v>888</v>
      </c>
      <c r="E278">
        <v>4544</v>
      </c>
      <c r="F278" t="s">
        <v>899</v>
      </c>
      <c r="G278" s="173" t="s">
        <v>74</v>
      </c>
      <c r="H278" s="173" t="s">
        <v>65</v>
      </c>
      <c r="I278" s="173" t="s">
        <v>26</v>
      </c>
      <c r="J278" s="175" t="str">
        <f t="shared" si="17"/>
        <v>Drawer FrontWide Traditional 4544Miter 4544Neowalnut    7991-28</v>
      </c>
      <c r="K278" s="174" t="s">
        <v>986</v>
      </c>
    </row>
    <row r="279" spans="1:12" x14ac:dyDescent="0.35">
      <c r="A279" s="209" t="s">
        <v>1114</v>
      </c>
      <c r="B279" s="209" t="s">
        <v>193</v>
      </c>
      <c r="C279" t="s">
        <v>272</v>
      </c>
      <c r="D279" t="s">
        <v>889</v>
      </c>
      <c r="E279">
        <v>4544</v>
      </c>
      <c r="F279" t="s">
        <v>900</v>
      </c>
      <c r="G279" s="173" t="s">
        <v>74</v>
      </c>
      <c r="H279" s="173" t="s">
        <v>65</v>
      </c>
      <c r="I279" s="173" t="s">
        <v>26</v>
      </c>
      <c r="J279" s="175" t="str">
        <f t="shared" si="17"/>
        <v>Drawer FrontWide Traditional 4544Miter 4544Portico Teak    8210-28</v>
      </c>
      <c r="K279" s="174" t="s">
        <v>987</v>
      </c>
    </row>
    <row r="280" spans="1:12" x14ac:dyDescent="0.35">
      <c r="A280" s="209" t="s">
        <v>879</v>
      </c>
      <c r="B280" s="209" t="s">
        <v>198</v>
      </c>
      <c r="C280" t="s">
        <v>272</v>
      </c>
      <c r="D280" t="s">
        <v>890</v>
      </c>
      <c r="E280">
        <v>4544</v>
      </c>
      <c r="F280" t="s">
        <v>901</v>
      </c>
      <c r="G280" s="173" t="s">
        <v>74</v>
      </c>
      <c r="H280" s="173" t="s">
        <v>65</v>
      </c>
      <c r="I280" s="173" t="s">
        <v>26</v>
      </c>
      <c r="J280" s="175" t="str">
        <f t="shared" si="17"/>
        <v>Drawer FrontWide Traditional 4544Miter 4544Pepperdust    D327-60</v>
      </c>
      <c r="K280" s="174" t="s">
        <v>988</v>
      </c>
    </row>
    <row r="281" spans="1:12" x14ac:dyDescent="0.35">
      <c r="A281" s="209" t="s">
        <v>230</v>
      </c>
      <c r="B281" s="209" t="s">
        <v>165</v>
      </c>
      <c r="C281" t="s">
        <v>272</v>
      </c>
      <c r="D281" t="s">
        <v>231</v>
      </c>
      <c r="E281">
        <v>4544</v>
      </c>
      <c r="F281" s="173" t="s">
        <v>12</v>
      </c>
      <c r="G281" s="173" t="s">
        <v>74</v>
      </c>
      <c r="H281" s="173" t="s">
        <v>65</v>
      </c>
      <c r="I281" s="173" t="s">
        <v>26</v>
      </c>
      <c r="J281" s="175" t="str">
        <f t="shared" si="15"/>
        <v>Drawer FrontWide Traditional 4544Miter 4544Columbian Walnut  7943-07</v>
      </c>
      <c r="K281" s="174" t="s">
        <v>473</v>
      </c>
      <c r="L281" t="s">
        <v>472</v>
      </c>
    </row>
    <row r="282" spans="1:12" x14ac:dyDescent="0.35">
      <c r="A282" s="209" t="s">
        <v>234</v>
      </c>
      <c r="B282" s="209" t="s">
        <v>184</v>
      </c>
      <c r="C282" t="s">
        <v>272</v>
      </c>
      <c r="D282" t="s">
        <v>235</v>
      </c>
      <c r="E282">
        <v>4544</v>
      </c>
      <c r="F282" s="173" t="s">
        <v>131</v>
      </c>
      <c r="G282" s="173" t="s">
        <v>74</v>
      </c>
      <c r="H282" s="173" t="s">
        <v>65</v>
      </c>
      <c r="I282" s="173" t="s">
        <v>26</v>
      </c>
      <c r="J282" s="175" t="str">
        <f t="shared" si="15"/>
        <v>Drawer FrontWide Traditional 4544Miter 4544Florence Walnut    7993-38</v>
      </c>
      <c r="K282" s="174" t="s">
        <v>475</v>
      </c>
      <c r="L282" t="s">
        <v>474</v>
      </c>
    </row>
    <row r="283" spans="1:12" x14ac:dyDescent="0.35">
      <c r="A283" s="209" t="s">
        <v>164</v>
      </c>
      <c r="B283" s="209" t="s">
        <v>165</v>
      </c>
      <c r="C283" t="s">
        <v>477</v>
      </c>
      <c r="D283" t="s">
        <v>167</v>
      </c>
      <c r="E283">
        <v>4780</v>
      </c>
      <c r="F283" s="173" t="s">
        <v>132</v>
      </c>
      <c r="G283" s="173" t="s">
        <v>75</v>
      </c>
      <c r="H283" s="173" t="s">
        <v>66</v>
      </c>
      <c r="I283" s="173" t="s">
        <v>14</v>
      </c>
      <c r="J283" s="175" t="str">
        <f t="shared" si="15"/>
        <v>DoorContemporary 4780French Cut 4780Shaker Cherry       7935-07</v>
      </c>
      <c r="K283" s="174" t="s">
        <v>478</v>
      </c>
      <c r="L283" t="s">
        <v>476</v>
      </c>
    </row>
    <row r="284" spans="1:12" x14ac:dyDescent="0.35">
      <c r="A284" s="209" t="s">
        <v>170</v>
      </c>
      <c r="B284" s="209" t="s">
        <v>165</v>
      </c>
      <c r="C284" t="s">
        <v>477</v>
      </c>
      <c r="D284" t="s">
        <v>171</v>
      </c>
      <c r="E284">
        <v>4780</v>
      </c>
      <c r="F284" s="173" t="s">
        <v>133</v>
      </c>
      <c r="G284" s="173" t="s">
        <v>75</v>
      </c>
      <c r="H284" s="173" t="s">
        <v>66</v>
      </c>
      <c r="I284" s="173" t="s">
        <v>14</v>
      </c>
      <c r="J284" s="175" t="str">
        <f t="shared" si="15"/>
        <v>DoorContemporary 4780French Cut 4780Cafelle 7933-07</v>
      </c>
      <c r="K284" s="174" t="s">
        <v>480</v>
      </c>
      <c r="L284" t="s">
        <v>479</v>
      </c>
    </row>
    <row r="285" spans="1:12" x14ac:dyDescent="0.35">
      <c r="A285" s="209" t="s">
        <v>174</v>
      </c>
      <c r="B285" s="209" t="s">
        <v>175</v>
      </c>
      <c r="C285" t="s">
        <v>477</v>
      </c>
      <c r="D285" t="s">
        <v>176</v>
      </c>
      <c r="E285">
        <v>4780</v>
      </c>
      <c r="F285" s="173" t="s">
        <v>123</v>
      </c>
      <c r="G285" s="173" t="s">
        <v>75</v>
      </c>
      <c r="H285" s="173" t="s">
        <v>66</v>
      </c>
      <c r="I285" s="173" t="s">
        <v>14</v>
      </c>
      <c r="J285" s="175" t="str">
        <f t="shared" si="15"/>
        <v>DoorContemporary 4780French Cut 4780White Driftwood      8200-16</v>
      </c>
      <c r="K285" s="174" t="s">
        <v>482</v>
      </c>
      <c r="L285" t="s">
        <v>481</v>
      </c>
    </row>
    <row r="286" spans="1:12" x14ac:dyDescent="0.35">
      <c r="A286" s="209" t="s">
        <v>179</v>
      </c>
      <c r="B286" s="209" t="s">
        <v>175</v>
      </c>
      <c r="C286" t="s">
        <v>477</v>
      </c>
      <c r="D286" t="s">
        <v>180</v>
      </c>
      <c r="E286">
        <v>4780</v>
      </c>
      <c r="F286" s="173" t="s">
        <v>124</v>
      </c>
      <c r="G286" s="173" t="s">
        <v>75</v>
      </c>
      <c r="H286" s="173" t="s">
        <v>66</v>
      </c>
      <c r="I286" s="173" t="s">
        <v>14</v>
      </c>
      <c r="J286" s="175" t="str">
        <f t="shared" si="15"/>
        <v>DoorContemporary 4780French Cut 4780Weathered Char     8204-16</v>
      </c>
      <c r="K286" s="174" t="s">
        <v>484</v>
      </c>
      <c r="L286" t="s">
        <v>483</v>
      </c>
    </row>
    <row r="287" spans="1:12" x14ac:dyDescent="0.35">
      <c r="A287" s="209" t="s">
        <v>183</v>
      </c>
      <c r="B287" s="209" t="s">
        <v>184</v>
      </c>
      <c r="C287" t="s">
        <v>477</v>
      </c>
      <c r="D287" t="s">
        <v>185</v>
      </c>
      <c r="E287">
        <v>4780</v>
      </c>
      <c r="F287" s="173" t="s">
        <v>134</v>
      </c>
      <c r="G287" s="173" t="s">
        <v>75</v>
      </c>
      <c r="H287" s="173" t="s">
        <v>66</v>
      </c>
      <c r="I287" s="173" t="s">
        <v>14</v>
      </c>
      <c r="J287" s="175" t="str">
        <f t="shared" si="15"/>
        <v>DoorContemporary 4780French Cut 4780Neowalnut 7991-38</v>
      </c>
      <c r="K287" s="174" t="s">
        <v>486</v>
      </c>
      <c r="L287" t="s">
        <v>485</v>
      </c>
    </row>
    <row r="288" spans="1:12" x14ac:dyDescent="0.35">
      <c r="A288" s="209" t="s">
        <v>188</v>
      </c>
      <c r="B288" s="209" t="s">
        <v>184</v>
      </c>
      <c r="C288" t="s">
        <v>477</v>
      </c>
      <c r="D288" t="s">
        <v>189</v>
      </c>
      <c r="E288">
        <v>4780</v>
      </c>
      <c r="F288" s="173" t="s">
        <v>135</v>
      </c>
      <c r="G288" s="173" t="s">
        <v>75</v>
      </c>
      <c r="H288" s="173" t="s">
        <v>66</v>
      </c>
      <c r="I288" s="173" t="s">
        <v>14</v>
      </c>
      <c r="J288" s="175" t="str">
        <f t="shared" si="15"/>
        <v>DoorContemporary 4780French Cut 4780Ebony Recon        7997-38</v>
      </c>
      <c r="K288" s="174" t="s">
        <v>488</v>
      </c>
      <c r="L288" t="s">
        <v>487</v>
      </c>
    </row>
    <row r="289" spans="1:12" x14ac:dyDescent="0.35">
      <c r="A289" s="209" t="s">
        <v>192</v>
      </c>
      <c r="B289" s="209" t="s">
        <v>193</v>
      </c>
      <c r="C289" t="s">
        <v>477</v>
      </c>
      <c r="D289" t="s">
        <v>194</v>
      </c>
      <c r="E289">
        <v>4780</v>
      </c>
      <c r="F289" s="173" t="s">
        <v>36</v>
      </c>
      <c r="G289" s="173" t="s">
        <v>75</v>
      </c>
      <c r="H289" s="173" t="s">
        <v>66</v>
      </c>
      <c r="I289" s="173" t="s">
        <v>14</v>
      </c>
      <c r="J289" s="175" t="str">
        <f t="shared" si="15"/>
        <v>DoorContemporary 4780French Cut 4780Phantom Charcoal  8214-28</v>
      </c>
      <c r="K289" s="174" t="s">
        <v>490</v>
      </c>
      <c r="L289" t="s">
        <v>489</v>
      </c>
    </row>
    <row r="290" spans="1:12" x14ac:dyDescent="0.35">
      <c r="A290" s="209" t="s">
        <v>197</v>
      </c>
      <c r="B290" s="209" t="s">
        <v>198</v>
      </c>
      <c r="C290" t="s">
        <v>477</v>
      </c>
      <c r="D290" t="s">
        <v>199</v>
      </c>
      <c r="E290">
        <v>4780</v>
      </c>
      <c r="F290" s="173" t="s">
        <v>11</v>
      </c>
      <c r="G290" s="173" t="s">
        <v>75</v>
      </c>
      <c r="H290" s="173" t="s">
        <v>66</v>
      </c>
      <c r="I290" s="173" t="s">
        <v>14</v>
      </c>
      <c r="J290" s="175" t="str">
        <f t="shared" si="15"/>
        <v>DoorContemporary 4780French Cut 4780Linen  D427-60</v>
      </c>
      <c r="K290" s="174" t="s">
        <v>492</v>
      </c>
      <c r="L290" t="s">
        <v>491</v>
      </c>
    </row>
    <row r="291" spans="1:12" x14ac:dyDescent="0.35">
      <c r="A291" s="209" t="s">
        <v>202</v>
      </c>
      <c r="B291" s="209" t="s">
        <v>193</v>
      </c>
      <c r="C291" t="s">
        <v>477</v>
      </c>
      <c r="D291" t="s">
        <v>203</v>
      </c>
      <c r="E291">
        <v>4780</v>
      </c>
      <c r="F291" s="173" t="s">
        <v>136</v>
      </c>
      <c r="G291" s="173" t="s">
        <v>75</v>
      </c>
      <c r="H291" s="173" t="s">
        <v>66</v>
      </c>
      <c r="I291" s="173" t="s">
        <v>14</v>
      </c>
      <c r="J291" s="175" t="str">
        <f t="shared" si="15"/>
        <v>DoorContemporary 4780French Cut 4780Phantom Pearl      8211-28</v>
      </c>
      <c r="K291" s="174" t="s">
        <v>494</v>
      </c>
      <c r="L291" t="s">
        <v>493</v>
      </c>
    </row>
    <row r="292" spans="1:12" x14ac:dyDescent="0.35">
      <c r="A292" s="209" t="s">
        <v>206</v>
      </c>
      <c r="B292" s="209" t="s">
        <v>193</v>
      </c>
      <c r="C292" t="s">
        <v>477</v>
      </c>
      <c r="D292" t="s">
        <v>207</v>
      </c>
      <c r="E292">
        <v>4780</v>
      </c>
      <c r="F292" s="173" t="s">
        <v>125</v>
      </c>
      <c r="G292" s="173" t="s">
        <v>75</v>
      </c>
      <c r="H292" s="173" t="s">
        <v>66</v>
      </c>
      <c r="I292" s="173" t="s">
        <v>14</v>
      </c>
      <c r="J292" s="175" t="str">
        <f t="shared" si="15"/>
        <v>DoorContemporary 4780French Cut 4780Veranda Teak        8209-28</v>
      </c>
      <c r="K292" s="174" t="s">
        <v>496</v>
      </c>
      <c r="L292" t="s">
        <v>495</v>
      </c>
    </row>
    <row r="293" spans="1:12" x14ac:dyDescent="0.35">
      <c r="A293" s="209" t="s">
        <v>210</v>
      </c>
      <c r="B293" s="209" t="s">
        <v>175</v>
      </c>
      <c r="C293" t="s">
        <v>477</v>
      </c>
      <c r="D293" t="s">
        <v>211</v>
      </c>
      <c r="E293">
        <v>4780</v>
      </c>
      <c r="F293" s="173" t="s">
        <v>126</v>
      </c>
      <c r="G293" s="173" t="s">
        <v>75</v>
      </c>
      <c r="H293" s="173" t="s">
        <v>66</v>
      </c>
      <c r="I293" s="173" t="s">
        <v>14</v>
      </c>
      <c r="J293" s="175" t="str">
        <f t="shared" si="15"/>
        <v>DoorContemporary 4780French Cut 4780Branded Oak         8207-16</v>
      </c>
      <c r="K293" s="174" t="s">
        <v>498</v>
      </c>
      <c r="L293" t="s">
        <v>497</v>
      </c>
    </row>
    <row r="294" spans="1:12" x14ac:dyDescent="0.35">
      <c r="A294" s="209" t="s">
        <v>214</v>
      </c>
      <c r="B294" s="209" t="s">
        <v>175</v>
      </c>
      <c r="C294" t="s">
        <v>477</v>
      </c>
      <c r="D294" t="s">
        <v>215</v>
      </c>
      <c r="E294">
        <v>4780</v>
      </c>
      <c r="F294" s="173" t="s">
        <v>127</v>
      </c>
      <c r="G294" s="173" t="s">
        <v>75</v>
      </c>
      <c r="H294" s="173" t="s">
        <v>66</v>
      </c>
      <c r="I294" s="173" t="s">
        <v>14</v>
      </c>
      <c r="J294" s="175" t="str">
        <f t="shared" si="15"/>
        <v>DoorContemporary 4780French Cut 4780Saddle Oak           8206-16</v>
      </c>
      <c r="K294" s="174" t="s">
        <v>500</v>
      </c>
      <c r="L294" t="s">
        <v>499</v>
      </c>
    </row>
    <row r="295" spans="1:12" x14ac:dyDescent="0.35">
      <c r="A295" s="209" t="s">
        <v>218</v>
      </c>
      <c r="B295" s="209" t="s">
        <v>193</v>
      </c>
      <c r="C295" t="s">
        <v>477</v>
      </c>
      <c r="D295" t="s">
        <v>219</v>
      </c>
      <c r="E295">
        <v>4780</v>
      </c>
      <c r="F295" s="173" t="s">
        <v>129</v>
      </c>
      <c r="G295" s="173" t="s">
        <v>75</v>
      </c>
      <c r="H295" s="173" t="s">
        <v>66</v>
      </c>
      <c r="I295" s="173" t="s">
        <v>14</v>
      </c>
      <c r="J295" s="175" t="str">
        <f t="shared" si="15"/>
        <v>DoorContemporary 4780French Cut 4780Phantom Ecru       8212-28</v>
      </c>
      <c r="K295" s="174" t="s">
        <v>502</v>
      </c>
      <c r="L295" t="s">
        <v>501</v>
      </c>
    </row>
    <row r="296" spans="1:12" x14ac:dyDescent="0.35">
      <c r="A296" s="209" t="s">
        <v>222</v>
      </c>
      <c r="B296" s="209" t="s">
        <v>175</v>
      </c>
      <c r="C296" t="s">
        <v>477</v>
      </c>
      <c r="D296" t="s">
        <v>223</v>
      </c>
      <c r="E296">
        <v>4780</v>
      </c>
      <c r="F296" s="173" t="s">
        <v>128</v>
      </c>
      <c r="G296" s="173" t="s">
        <v>75</v>
      </c>
      <c r="H296" s="173" t="s">
        <v>66</v>
      </c>
      <c r="I296" s="173" t="s">
        <v>14</v>
      </c>
      <c r="J296" s="175" t="str">
        <f t="shared" si="15"/>
        <v>DoorContemporary 4780French Cut 4780Fawn Cypress       8208-16</v>
      </c>
      <c r="K296" s="174" t="s">
        <v>504</v>
      </c>
      <c r="L296" t="s">
        <v>503</v>
      </c>
    </row>
    <row r="297" spans="1:12" x14ac:dyDescent="0.35">
      <c r="A297" s="209" t="s">
        <v>226</v>
      </c>
      <c r="B297" s="209" t="s">
        <v>184</v>
      </c>
      <c r="C297" t="s">
        <v>477</v>
      </c>
      <c r="D297" t="s">
        <v>227</v>
      </c>
      <c r="E297">
        <v>4780</v>
      </c>
      <c r="F297" s="173" t="s">
        <v>130</v>
      </c>
      <c r="G297" s="173" t="s">
        <v>75</v>
      </c>
      <c r="H297" s="173" t="s">
        <v>66</v>
      </c>
      <c r="I297" s="173" t="s">
        <v>14</v>
      </c>
      <c r="J297" s="175" t="str">
        <f t="shared" si="15"/>
        <v>DoorContemporary 4780French Cut 4780River Cherry          7937-38</v>
      </c>
      <c r="K297" s="174" t="s">
        <v>506</v>
      </c>
      <c r="L297" t="s">
        <v>505</v>
      </c>
    </row>
    <row r="298" spans="1:12" x14ac:dyDescent="0.35">
      <c r="A298" s="209" t="s">
        <v>1183</v>
      </c>
      <c r="B298" s="209" t="s">
        <v>1184</v>
      </c>
      <c r="C298" t="s">
        <v>477</v>
      </c>
      <c r="D298" s="210" t="s">
        <v>1185</v>
      </c>
      <c r="E298">
        <v>4780</v>
      </c>
      <c r="F298" s="211" t="s">
        <v>1201</v>
      </c>
      <c r="G298" s="173" t="s">
        <v>75</v>
      </c>
      <c r="H298" s="173" t="s">
        <v>66</v>
      </c>
      <c r="I298" s="173" t="s">
        <v>14</v>
      </c>
      <c r="J298" s="175" t="str">
        <f t="shared" ref="J298:J304" si="18">CONCATENATE(I298,G298,H298,F298)</f>
        <v>DoorContemporary 4780French Cut 4780Akira                     8233-05</v>
      </c>
      <c r="K298" s="174" t="s">
        <v>1261</v>
      </c>
    </row>
    <row r="299" spans="1:12" x14ac:dyDescent="0.35">
      <c r="A299" s="209" t="s">
        <v>1186</v>
      </c>
      <c r="B299" s="209" t="s">
        <v>1184</v>
      </c>
      <c r="C299" t="s">
        <v>477</v>
      </c>
      <c r="D299" s="210" t="s">
        <v>1187</v>
      </c>
      <c r="E299">
        <v>4780</v>
      </c>
      <c r="F299" s="211" t="s">
        <v>1200</v>
      </c>
      <c r="G299" s="173" t="s">
        <v>75</v>
      </c>
      <c r="H299" s="173" t="s">
        <v>66</v>
      </c>
      <c r="I299" s="173" t="s">
        <v>14</v>
      </c>
      <c r="J299" s="175" t="str">
        <f t="shared" si="18"/>
        <v>DoorContemporary 4780French Cut 4780Belair                    8234-05</v>
      </c>
      <c r="K299" s="174" t="s">
        <v>1262</v>
      </c>
    </row>
    <row r="300" spans="1:12" x14ac:dyDescent="0.35">
      <c r="A300" s="209" t="s">
        <v>1188</v>
      </c>
      <c r="B300" s="209" t="s">
        <v>1184</v>
      </c>
      <c r="C300" t="s">
        <v>477</v>
      </c>
      <c r="D300" s="210" t="s">
        <v>1189</v>
      </c>
      <c r="E300">
        <v>4780</v>
      </c>
      <c r="F300" s="211" t="s">
        <v>1198</v>
      </c>
      <c r="G300" s="173" t="s">
        <v>75</v>
      </c>
      <c r="H300" s="173" t="s">
        <v>66</v>
      </c>
      <c r="I300" s="173" t="s">
        <v>14</v>
      </c>
      <c r="J300" s="175" t="str">
        <f t="shared" si="18"/>
        <v>DoorContemporary 4780French Cut 4780Daintree               8235-05</v>
      </c>
      <c r="K300" s="174" t="s">
        <v>1263</v>
      </c>
    </row>
    <row r="301" spans="1:12" x14ac:dyDescent="0.35">
      <c r="A301" s="209" t="s">
        <v>1190</v>
      </c>
      <c r="B301" s="209" t="s">
        <v>1184</v>
      </c>
      <c r="C301" t="s">
        <v>477</v>
      </c>
      <c r="D301" s="210" t="s">
        <v>1191</v>
      </c>
      <c r="E301">
        <v>4780</v>
      </c>
      <c r="F301" s="211" t="s">
        <v>1199</v>
      </c>
      <c r="G301" s="173" t="s">
        <v>75</v>
      </c>
      <c r="H301" s="173" t="s">
        <v>66</v>
      </c>
      <c r="I301" s="173" t="s">
        <v>14</v>
      </c>
      <c r="J301" s="175" t="str">
        <f t="shared" si="18"/>
        <v>DoorContemporary 4780French Cut 4780Monteverdi          8236-05</v>
      </c>
      <c r="K301" s="174" t="s">
        <v>1264</v>
      </c>
    </row>
    <row r="302" spans="1:12" x14ac:dyDescent="0.35">
      <c r="A302" s="209" t="s">
        <v>1192</v>
      </c>
      <c r="B302" s="209" t="s">
        <v>1184</v>
      </c>
      <c r="C302" t="s">
        <v>477</v>
      </c>
      <c r="D302" s="210" t="s">
        <v>1193</v>
      </c>
      <c r="E302">
        <v>4780</v>
      </c>
      <c r="F302" s="211" t="s">
        <v>1202</v>
      </c>
      <c r="G302" s="173" t="s">
        <v>75</v>
      </c>
      <c r="H302" s="173" t="s">
        <v>66</v>
      </c>
      <c r="I302" s="173" t="s">
        <v>14</v>
      </c>
      <c r="J302" s="175" t="str">
        <f t="shared" si="18"/>
        <v>DoorContemporary 4780French Cut 4780Great Bear           8237-05</v>
      </c>
      <c r="K302" s="174" t="s">
        <v>1265</v>
      </c>
    </row>
    <row r="303" spans="1:12" x14ac:dyDescent="0.35">
      <c r="A303" s="209" t="s">
        <v>1194</v>
      </c>
      <c r="B303" s="209" t="s">
        <v>1184</v>
      </c>
      <c r="C303" t="s">
        <v>477</v>
      </c>
      <c r="D303" s="210" t="s">
        <v>1195</v>
      </c>
      <c r="E303">
        <v>4780</v>
      </c>
      <c r="F303" s="211" t="s">
        <v>1203</v>
      </c>
      <c r="G303" s="173" t="s">
        <v>75</v>
      </c>
      <c r="H303" s="173" t="s">
        <v>66</v>
      </c>
      <c r="I303" s="173" t="s">
        <v>14</v>
      </c>
      <c r="J303" s="175" t="str">
        <f t="shared" si="18"/>
        <v>DoorContemporary 4780French Cut 4780Fairchild               8238-05</v>
      </c>
      <c r="K303" s="174" t="s">
        <v>1266</v>
      </c>
    </row>
    <row r="304" spans="1:12" x14ac:dyDescent="0.35">
      <c r="A304" s="209" t="s">
        <v>1196</v>
      </c>
      <c r="B304" s="209" t="s">
        <v>198</v>
      </c>
      <c r="C304" t="s">
        <v>477</v>
      </c>
      <c r="D304" s="210" t="s">
        <v>1197</v>
      </c>
      <c r="E304">
        <v>4780</v>
      </c>
      <c r="F304" s="211" t="s">
        <v>1204</v>
      </c>
      <c r="G304" s="173" t="s">
        <v>75</v>
      </c>
      <c r="H304" s="173" t="s">
        <v>66</v>
      </c>
      <c r="I304" s="173" t="s">
        <v>14</v>
      </c>
      <c r="J304" s="175" t="str">
        <f t="shared" si="18"/>
        <v>DoorContemporary 4780French Cut 4780Indigo                   D379-60</v>
      </c>
      <c r="K304" s="174" t="s">
        <v>1267</v>
      </c>
    </row>
    <row r="305" spans="1:12" x14ac:dyDescent="0.35">
      <c r="A305" s="209" t="s">
        <v>1106</v>
      </c>
      <c r="B305" s="209" t="s">
        <v>1115</v>
      </c>
      <c r="C305" t="s">
        <v>477</v>
      </c>
      <c r="D305" t="s">
        <v>880</v>
      </c>
      <c r="E305">
        <v>4780</v>
      </c>
      <c r="F305" t="s">
        <v>891</v>
      </c>
      <c r="G305" s="173" t="s">
        <v>75</v>
      </c>
      <c r="H305" s="173" t="s">
        <v>66</v>
      </c>
      <c r="I305" s="173" t="s">
        <v>14</v>
      </c>
      <c r="J305" s="175" t="str">
        <f t="shared" ref="J305:J315" si="19">CONCATENATE(I305,G305,H305,F305)</f>
        <v>DoorContemporary 4780French Cut 4780White Cypress    7976-79</v>
      </c>
      <c r="K305" s="174" t="s">
        <v>989</v>
      </c>
    </row>
    <row r="306" spans="1:12" x14ac:dyDescent="0.35">
      <c r="A306" s="209" t="s">
        <v>1107</v>
      </c>
      <c r="B306" s="209" t="s">
        <v>1115</v>
      </c>
      <c r="C306" t="s">
        <v>477</v>
      </c>
      <c r="D306" t="s">
        <v>881</v>
      </c>
      <c r="E306">
        <v>4780</v>
      </c>
      <c r="F306" t="s">
        <v>892</v>
      </c>
      <c r="G306" s="173" t="s">
        <v>75</v>
      </c>
      <c r="H306" s="173" t="s">
        <v>66</v>
      </c>
      <c r="I306" s="173" t="s">
        <v>14</v>
      </c>
      <c r="J306" s="175" t="str">
        <f t="shared" si="19"/>
        <v>DoorContemporary 4780French Cut 4780Randolph Forest    8225-79</v>
      </c>
      <c r="K306" s="174" t="s">
        <v>990</v>
      </c>
    </row>
    <row r="307" spans="1:12" x14ac:dyDescent="0.35">
      <c r="A307" s="209" t="s">
        <v>1108</v>
      </c>
      <c r="B307" s="209" t="s">
        <v>1115</v>
      </c>
      <c r="C307" t="s">
        <v>477</v>
      </c>
      <c r="D307" t="s">
        <v>882</v>
      </c>
      <c r="E307">
        <v>4780</v>
      </c>
      <c r="F307" t="s">
        <v>893</v>
      </c>
      <c r="G307" s="173" t="s">
        <v>75</v>
      </c>
      <c r="H307" s="173" t="s">
        <v>66</v>
      </c>
      <c r="I307" s="173" t="s">
        <v>14</v>
      </c>
      <c r="J307" s="175" t="str">
        <f t="shared" si="19"/>
        <v>DoorContemporary 4780French Cut 4780Dering Forest    8226-79</v>
      </c>
      <c r="K307" s="174" t="s">
        <v>991</v>
      </c>
    </row>
    <row r="308" spans="1:12" x14ac:dyDescent="0.35">
      <c r="A308" s="209" t="s">
        <v>1109</v>
      </c>
      <c r="B308" s="209" t="s">
        <v>1115</v>
      </c>
      <c r="C308" t="s">
        <v>477</v>
      </c>
      <c r="D308" t="s">
        <v>883</v>
      </c>
      <c r="E308">
        <v>4780</v>
      </c>
      <c r="F308" t="s">
        <v>894</v>
      </c>
      <c r="G308" s="173" t="s">
        <v>75</v>
      </c>
      <c r="H308" s="173" t="s">
        <v>66</v>
      </c>
      <c r="I308" s="173" t="s">
        <v>14</v>
      </c>
      <c r="J308" s="175" t="str">
        <f t="shared" si="19"/>
        <v>DoorContemporary 4780French Cut 4780White River Forest    8227-79</v>
      </c>
      <c r="K308" s="174" t="s">
        <v>992</v>
      </c>
    </row>
    <row r="309" spans="1:12" x14ac:dyDescent="0.35">
      <c r="A309" s="209" t="s">
        <v>1110</v>
      </c>
      <c r="B309" s="209" t="s">
        <v>1115</v>
      </c>
      <c r="C309" t="s">
        <v>477</v>
      </c>
      <c r="D309" t="s">
        <v>884</v>
      </c>
      <c r="E309">
        <v>4780</v>
      </c>
      <c r="F309" t="s">
        <v>895</v>
      </c>
      <c r="G309" s="173" t="s">
        <v>75</v>
      </c>
      <c r="H309" s="173" t="s">
        <v>66</v>
      </c>
      <c r="I309" s="173" t="s">
        <v>14</v>
      </c>
      <c r="J309" s="175" t="str">
        <f t="shared" si="19"/>
        <v>DoorContemporary 4780French Cut 4780Avondale Ash    8228-79</v>
      </c>
      <c r="K309" s="174" t="s">
        <v>993</v>
      </c>
    </row>
    <row r="310" spans="1:12" x14ac:dyDescent="0.35">
      <c r="A310" s="209" t="s">
        <v>1111</v>
      </c>
      <c r="B310" s="209" t="s">
        <v>1115</v>
      </c>
      <c r="C310" t="s">
        <v>477</v>
      </c>
      <c r="D310" t="s">
        <v>885</v>
      </c>
      <c r="E310">
        <v>4780</v>
      </c>
      <c r="F310" t="s">
        <v>896</v>
      </c>
      <c r="G310" s="173" t="s">
        <v>75</v>
      </c>
      <c r="H310" s="173" t="s">
        <v>66</v>
      </c>
      <c r="I310" s="173" t="s">
        <v>14</v>
      </c>
      <c r="J310" s="175" t="str">
        <f t="shared" si="19"/>
        <v>DoorContemporary 4780French Cut 4780Friston Ash    8229-79</v>
      </c>
      <c r="K310" s="174" t="s">
        <v>994</v>
      </c>
    </row>
    <row r="311" spans="1:12" x14ac:dyDescent="0.35">
      <c r="A311" s="209" t="s">
        <v>1112</v>
      </c>
      <c r="B311" s="209" t="s">
        <v>1115</v>
      </c>
      <c r="C311" t="s">
        <v>477</v>
      </c>
      <c r="D311" t="s">
        <v>886</v>
      </c>
      <c r="E311">
        <v>4780</v>
      </c>
      <c r="F311" t="s">
        <v>897</v>
      </c>
      <c r="G311" s="173" t="s">
        <v>75</v>
      </c>
      <c r="H311" s="173" t="s">
        <v>66</v>
      </c>
      <c r="I311" s="173" t="s">
        <v>14</v>
      </c>
      <c r="J311" s="175" t="str">
        <f t="shared" si="19"/>
        <v>DoorContemporary 4780French Cut 4780Valley Forge Elm    8231-79</v>
      </c>
      <c r="K311" s="174" t="s">
        <v>995</v>
      </c>
    </row>
    <row r="312" spans="1:12" x14ac:dyDescent="0.35">
      <c r="A312" s="209" t="s">
        <v>1113</v>
      </c>
      <c r="B312" s="209" t="s">
        <v>193</v>
      </c>
      <c r="C312" t="s">
        <v>477</v>
      </c>
      <c r="D312" t="s">
        <v>887</v>
      </c>
      <c r="E312">
        <v>4780</v>
      </c>
      <c r="F312" t="s">
        <v>898</v>
      </c>
      <c r="G312" s="173" t="s">
        <v>75</v>
      </c>
      <c r="H312" s="173" t="s">
        <v>66</v>
      </c>
      <c r="I312" s="173" t="s">
        <v>14</v>
      </c>
      <c r="J312" s="175" t="str">
        <f t="shared" si="19"/>
        <v>DoorContemporary 4780French Cut 4780High Line    7970-28</v>
      </c>
      <c r="K312" s="174" t="s">
        <v>996</v>
      </c>
    </row>
    <row r="313" spans="1:12" x14ac:dyDescent="0.35">
      <c r="A313" s="209" t="s">
        <v>183</v>
      </c>
      <c r="B313" s="209" t="s">
        <v>193</v>
      </c>
      <c r="C313" t="s">
        <v>477</v>
      </c>
      <c r="D313" t="s">
        <v>888</v>
      </c>
      <c r="E313">
        <v>4780</v>
      </c>
      <c r="F313" t="s">
        <v>899</v>
      </c>
      <c r="G313" s="173" t="s">
        <v>75</v>
      </c>
      <c r="H313" s="173" t="s">
        <v>66</v>
      </c>
      <c r="I313" s="173" t="s">
        <v>14</v>
      </c>
      <c r="J313" s="175" t="str">
        <f t="shared" si="19"/>
        <v>DoorContemporary 4780French Cut 4780Neowalnut    7991-28</v>
      </c>
      <c r="K313" s="174" t="s">
        <v>997</v>
      </c>
    </row>
    <row r="314" spans="1:12" x14ac:dyDescent="0.35">
      <c r="A314" s="209" t="s">
        <v>1114</v>
      </c>
      <c r="B314" s="209" t="s">
        <v>193</v>
      </c>
      <c r="C314" t="s">
        <v>477</v>
      </c>
      <c r="D314" t="s">
        <v>889</v>
      </c>
      <c r="E314">
        <v>4780</v>
      </c>
      <c r="F314" t="s">
        <v>900</v>
      </c>
      <c r="G314" s="173" t="s">
        <v>75</v>
      </c>
      <c r="H314" s="173" t="s">
        <v>66</v>
      </c>
      <c r="I314" s="173" t="s">
        <v>14</v>
      </c>
      <c r="J314" s="175" t="str">
        <f t="shared" si="19"/>
        <v>DoorContemporary 4780French Cut 4780Portico Teak    8210-28</v>
      </c>
      <c r="K314" s="174" t="s">
        <v>998</v>
      </c>
    </row>
    <row r="315" spans="1:12" x14ac:dyDescent="0.35">
      <c r="A315" s="209" t="s">
        <v>879</v>
      </c>
      <c r="B315" s="209" t="s">
        <v>198</v>
      </c>
      <c r="C315" t="s">
        <v>477</v>
      </c>
      <c r="D315" t="s">
        <v>890</v>
      </c>
      <c r="E315">
        <v>4780</v>
      </c>
      <c r="F315" t="s">
        <v>901</v>
      </c>
      <c r="G315" s="173" t="s">
        <v>75</v>
      </c>
      <c r="H315" s="173" t="s">
        <v>66</v>
      </c>
      <c r="I315" s="173" t="s">
        <v>14</v>
      </c>
      <c r="J315" s="175" t="str">
        <f t="shared" si="19"/>
        <v>DoorContemporary 4780French Cut 4780Pepperdust    D327-60</v>
      </c>
      <c r="K315" s="174" t="s">
        <v>999</v>
      </c>
    </row>
    <row r="316" spans="1:12" x14ac:dyDescent="0.35">
      <c r="A316" s="209" t="s">
        <v>230</v>
      </c>
      <c r="B316" s="209" t="s">
        <v>165</v>
      </c>
      <c r="C316" t="s">
        <v>477</v>
      </c>
      <c r="D316" t="s">
        <v>231</v>
      </c>
      <c r="E316">
        <v>4780</v>
      </c>
      <c r="F316" s="173" t="s">
        <v>12</v>
      </c>
      <c r="G316" s="173" t="s">
        <v>75</v>
      </c>
      <c r="H316" s="173" t="s">
        <v>66</v>
      </c>
      <c r="I316" s="173" t="s">
        <v>14</v>
      </c>
      <c r="J316" s="175" t="str">
        <f t="shared" si="15"/>
        <v>DoorContemporary 4780French Cut 4780Columbian Walnut  7943-07</v>
      </c>
      <c r="K316" s="174" t="s">
        <v>508</v>
      </c>
      <c r="L316" t="s">
        <v>507</v>
      </c>
    </row>
    <row r="317" spans="1:12" x14ac:dyDescent="0.35">
      <c r="A317" s="209" t="s">
        <v>234</v>
      </c>
      <c r="B317" s="209" t="s">
        <v>184</v>
      </c>
      <c r="C317" t="s">
        <v>477</v>
      </c>
      <c r="D317" t="s">
        <v>235</v>
      </c>
      <c r="E317">
        <v>4780</v>
      </c>
      <c r="F317" s="173" t="s">
        <v>131</v>
      </c>
      <c r="G317" s="173" t="s">
        <v>75</v>
      </c>
      <c r="H317" s="173" t="s">
        <v>66</v>
      </c>
      <c r="I317" s="173" t="s">
        <v>14</v>
      </c>
      <c r="J317" s="175" t="str">
        <f t="shared" si="15"/>
        <v>DoorContemporary 4780French Cut 4780Florence Walnut    7993-38</v>
      </c>
      <c r="K317" s="174" t="s">
        <v>510</v>
      </c>
      <c r="L317" t="s">
        <v>509</v>
      </c>
    </row>
    <row r="318" spans="1:12" x14ac:dyDescent="0.35">
      <c r="A318" s="209" t="s">
        <v>164</v>
      </c>
      <c r="B318" s="209" t="s">
        <v>165</v>
      </c>
      <c r="C318" t="s">
        <v>477</v>
      </c>
      <c r="D318" t="s">
        <v>167</v>
      </c>
      <c r="E318">
        <v>4780</v>
      </c>
      <c r="F318" s="173" t="s">
        <v>132</v>
      </c>
      <c r="G318" s="173" t="s">
        <v>75</v>
      </c>
      <c r="H318" s="173" t="s">
        <v>66</v>
      </c>
      <c r="I318" s="173" t="s">
        <v>26</v>
      </c>
      <c r="J318" s="175" t="str">
        <f t="shared" si="15"/>
        <v>Drawer FrontContemporary 4780French Cut 4780Shaker Cherry       7935-07</v>
      </c>
      <c r="K318" s="174" t="s">
        <v>512</v>
      </c>
      <c r="L318" t="s">
        <v>511</v>
      </c>
    </row>
    <row r="319" spans="1:12" x14ac:dyDescent="0.35">
      <c r="A319" s="209" t="s">
        <v>170</v>
      </c>
      <c r="B319" s="209" t="s">
        <v>165</v>
      </c>
      <c r="C319" t="s">
        <v>477</v>
      </c>
      <c r="D319" t="s">
        <v>171</v>
      </c>
      <c r="E319">
        <v>4780</v>
      </c>
      <c r="F319" s="173" t="s">
        <v>133</v>
      </c>
      <c r="G319" s="173" t="s">
        <v>75</v>
      </c>
      <c r="H319" s="173" t="s">
        <v>66</v>
      </c>
      <c r="I319" s="173" t="s">
        <v>26</v>
      </c>
      <c r="J319" s="175" t="str">
        <f t="shared" si="15"/>
        <v>Drawer FrontContemporary 4780French Cut 4780Cafelle 7933-07</v>
      </c>
      <c r="K319" s="174" t="s">
        <v>514</v>
      </c>
      <c r="L319" t="s">
        <v>513</v>
      </c>
    </row>
    <row r="320" spans="1:12" x14ac:dyDescent="0.35">
      <c r="A320" s="209" t="s">
        <v>174</v>
      </c>
      <c r="B320" s="209" t="s">
        <v>175</v>
      </c>
      <c r="C320" t="s">
        <v>477</v>
      </c>
      <c r="D320" t="s">
        <v>176</v>
      </c>
      <c r="E320">
        <v>4780</v>
      </c>
      <c r="F320" s="173" t="s">
        <v>123</v>
      </c>
      <c r="G320" s="173" t="s">
        <v>75</v>
      </c>
      <c r="H320" s="173" t="s">
        <v>66</v>
      </c>
      <c r="I320" s="173" t="s">
        <v>26</v>
      </c>
      <c r="J320" s="175" t="str">
        <f t="shared" si="15"/>
        <v>Drawer FrontContemporary 4780French Cut 4780White Driftwood      8200-16</v>
      </c>
      <c r="K320" s="174" t="s">
        <v>516</v>
      </c>
      <c r="L320" t="s">
        <v>515</v>
      </c>
    </row>
    <row r="321" spans="1:12" x14ac:dyDescent="0.35">
      <c r="A321" s="209" t="s">
        <v>179</v>
      </c>
      <c r="B321" s="209" t="s">
        <v>175</v>
      </c>
      <c r="C321" t="s">
        <v>477</v>
      </c>
      <c r="D321" t="s">
        <v>180</v>
      </c>
      <c r="E321">
        <v>4780</v>
      </c>
      <c r="F321" s="173" t="s">
        <v>124</v>
      </c>
      <c r="G321" s="173" t="s">
        <v>75</v>
      </c>
      <c r="H321" s="173" t="s">
        <v>66</v>
      </c>
      <c r="I321" s="173" t="s">
        <v>26</v>
      </c>
      <c r="J321" s="175" t="str">
        <f t="shared" si="15"/>
        <v>Drawer FrontContemporary 4780French Cut 4780Weathered Char     8204-16</v>
      </c>
      <c r="K321" s="174" t="s">
        <v>518</v>
      </c>
      <c r="L321" t="s">
        <v>517</v>
      </c>
    </row>
    <row r="322" spans="1:12" x14ac:dyDescent="0.35">
      <c r="A322" s="209" t="s">
        <v>183</v>
      </c>
      <c r="B322" s="209" t="s">
        <v>184</v>
      </c>
      <c r="C322" t="s">
        <v>477</v>
      </c>
      <c r="D322" t="s">
        <v>185</v>
      </c>
      <c r="E322">
        <v>4780</v>
      </c>
      <c r="F322" s="173" t="s">
        <v>134</v>
      </c>
      <c r="G322" s="173" t="s">
        <v>75</v>
      </c>
      <c r="H322" s="173" t="s">
        <v>66</v>
      </c>
      <c r="I322" s="173" t="s">
        <v>26</v>
      </c>
      <c r="J322" s="175" t="str">
        <f t="shared" si="15"/>
        <v>Drawer FrontContemporary 4780French Cut 4780Neowalnut 7991-38</v>
      </c>
      <c r="K322" s="174" t="s">
        <v>520</v>
      </c>
      <c r="L322" t="s">
        <v>519</v>
      </c>
    </row>
    <row r="323" spans="1:12" x14ac:dyDescent="0.35">
      <c r="A323" s="209" t="s">
        <v>188</v>
      </c>
      <c r="B323" s="209" t="s">
        <v>184</v>
      </c>
      <c r="C323" t="s">
        <v>477</v>
      </c>
      <c r="D323" t="s">
        <v>189</v>
      </c>
      <c r="E323">
        <v>4780</v>
      </c>
      <c r="F323" s="173" t="s">
        <v>135</v>
      </c>
      <c r="G323" s="173" t="s">
        <v>75</v>
      </c>
      <c r="H323" s="173" t="s">
        <v>66</v>
      </c>
      <c r="I323" s="173" t="s">
        <v>26</v>
      </c>
      <c r="J323" s="175" t="str">
        <f t="shared" si="15"/>
        <v>Drawer FrontContemporary 4780French Cut 4780Ebony Recon        7997-38</v>
      </c>
      <c r="K323" s="174" t="s">
        <v>522</v>
      </c>
      <c r="L323" t="s">
        <v>521</v>
      </c>
    </row>
    <row r="324" spans="1:12" x14ac:dyDescent="0.35">
      <c r="A324" s="209" t="s">
        <v>192</v>
      </c>
      <c r="B324" s="209" t="s">
        <v>193</v>
      </c>
      <c r="C324" t="s">
        <v>477</v>
      </c>
      <c r="D324" t="s">
        <v>194</v>
      </c>
      <c r="E324">
        <v>4780</v>
      </c>
      <c r="F324" s="173" t="s">
        <v>36</v>
      </c>
      <c r="G324" s="173" t="s">
        <v>75</v>
      </c>
      <c r="H324" s="173" t="s">
        <v>66</v>
      </c>
      <c r="I324" s="173" t="s">
        <v>26</v>
      </c>
      <c r="J324" s="175" t="str">
        <f t="shared" si="15"/>
        <v>Drawer FrontContemporary 4780French Cut 4780Phantom Charcoal  8214-28</v>
      </c>
      <c r="K324" s="174" t="s">
        <v>524</v>
      </c>
      <c r="L324" t="s">
        <v>523</v>
      </c>
    </row>
    <row r="325" spans="1:12" x14ac:dyDescent="0.35">
      <c r="A325" s="209" t="s">
        <v>197</v>
      </c>
      <c r="B325" s="209" t="s">
        <v>198</v>
      </c>
      <c r="C325" t="s">
        <v>477</v>
      </c>
      <c r="D325" t="s">
        <v>199</v>
      </c>
      <c r="E325">
        <v>4780</v>
      </c>
      <c r="F325" s="173" t="s">
        <v>11</v>
      </c>
      <c r="G325" s="173" t="s">
        <v>75</v>
      </c>
      <c r="H325" s="173" t="s">
        <v>66</v>
      </c>
      <c r="I325" s="173" t="s">
        <v>26</v>
      </c>
      <c r="J325" s="175" t="str">
        <f t="shared" si="15"/>
        <v>Drawer FrontContemporary 4780French Cut 4780Linen  D427-60</v>
      </c>
      <c r="K325" s="174" t="s">
        <v>526</v>
      </c>
      <c r="L325" t="s">
        <v>525</v>
      </c>
    </row>
    <row r="326" spans="1:12" x14ac:dyDescent="0.35">
      <c r="A326" s="209" t="s">
        <v>202</v>
      </c>
      <c r="B326" s="209" t="s">
        <v>193</v>
      </c>
      <c r="C326" t="s">
        <v>477</v>
      </c>
      <c r="D326" t="s">
        <v>203</v>
      </c>
      <c r="E326">
        <v>4780</v>
      </c>
      <c r="F326" s="173" t="s">
        <v>136</v>
      </c>
      <c r="G326" s="173" t="s">
        <v>75</v>
      </c>
      <c r="H326" s="173" t="s">
        <v>66</v>
      </c>
      <c r="I326" s="173" t="s">
        <v>26</v>
      </c>
      <c r="J326" s="175" t="str">
        <f t="shared" si="15"/>
        <v>Drawer FrontContemporary 4780French Cut 4780Phantom Pearl      8211-28</v>
      </c>
      <c r="K326" s="174" t="s">
        <v>528</v>
      </c>
      <c r="L326" t="s">
        <v>527</v>
      </c>
    </row>
    <row r="327" spans="1:12" x14ac:dyDescent="0.35">
      <c r="A327" s="209" t="s">
        <v>206</v>
      </c>
      <c r="B327" s="209" t="s">
        <v>193</v>
      </c>
      <c r="C327" t="s">
        <v>477</v>
      </c>
      <c r="D327" t="s">
        <v>207</v>
      </c>
      <c r="E327">
        <v>4780</v>
      </c>
      <c r="F327" s="173" t="s">
        <v>125</v>
      </c>
      <c r="G327" s="173" t="s">
        <v>75</v>
      </c>
      <c r="H327" s="173" t="s">
        <v>66</v>
      </c>
      <c r="I327" s="173" t="s">
        <v>26</v>
      </c>
      <c r="J327" s="175" t="str">
        <f t="shared" si="15"/>
        <v>Drawer FrontContemporary 4780French Cut 4780Veranda Teak        8209-28</v>
      </c>
      <c r="K327" s="174" t="s">
        <v>530</v>
      </c>
      <c r="L327" t="s">
        <v>529</v>
      </c>
    </row>
    <row r="328" spans="1:12" x14ac:dyDescent="0.35">
      <c r="A328" s="209" t="s">
        <v>210</v>
      </c>
      <c r="B328" s="209" t="s">
        <v>175</v>
      </c>
      <c r="C328" t="s">
        <v>477</v>
      </c>
      <c r="D328" t="s">
        <v>211</v>
      </c>
      <c r="E328">
        <v>4780</v>
      </c>
      <c r="F328" s="173" t="s">
        <v>126</v>
      </c>
      <c r="G328" s="173" t="s">
        <v>75</v>
      </c>
      <c r="H328" s="173" t="s">
        <v>66</v>
      </c>
      <c r="I328" s="173" t="s">
        <v>26</v>
      </c>
      <c r="J328" s="175" t="str">
        <f t="shared" si="15"/>
        <v>Drawer FrontContemporary 4780French Cut 4780Branded Oak         8207-16</v>
      </c>
      <c r="K328" s="174" t="s">
        <v>532</v>
      </c>
      <c r="L328" t="s">
        <v>531</v>
      </c>
    </row>
    <row r="329" spans="1:12" x14ac:dyDescent="0.35">
      <c r="A329" s="209" t="s">
        <v>214</v>
      </c>
      <c r="B329" s="209" t="s">
        <v>175</v>
      </c>
      <c r="C329" t="s">
        <v>477</v>
      </c>
      <c r="D329" t="s">
        <v>215</v>
      </c>
      <c r="E329">
        <v>4780</v>
      </c>
      <c r="F329" s="173" t="s">
        <v>127</v>
      </c>
      <c r="G329" s="173" t="s">
        <v>75</v>
      </c>
      <c r="H329" s="173" t="s">
        <v>66</v>
      </c>
      <c r="I329" s="173" t="s">
        <v>26</v>
      </c>
      <c r="J329" s="175" t="str">
        <f t="shared" si="15"/>
        <v>Drawer FrontContemporary 4780French Cut 4780Saddle Oak           8206-16</v>
      </c>
      <c r="K329" s="174" t="s">
        <v>534</v>
      </c>
      <c r="L329" t="s">
        <v>533</v>
      </c>
    </row>
    <row r="330" spans="1:12" x14ac:dyDescent="0.35">
      <c r="A330" s="209" t="s">
        <v>218</v>
      </c>
      <c r="B330" s="209" t="s">
        <v>193</v>
      </c>
      <c r="C330" t="s">
        <v>477</v>
      </c>
      <c r="D330" t="s">
        <v>219</v>
      </c>
      <c r="E330">
        <v>4780</v>
      </c>
      <c r="F330" s="173" t="s">
        <v>129</v>
      </c>
      <c r="G330" s="173" t="s">
        <v>75</v>
      </c>
      <c r="H330" s="173" t="s">
        <v>66</v>
      </c>
      <c r="I330" s="173" t="s">
        <v>26</v>
      </c>
      <c r="J330" s="175" t="str">
        <f t="shared" si="15"/>
        <v>Drawer FrontContemporary 4780French Cut 4780Phantom Ecru       8212-28</v>
      </c>
      <c r="K330" s="174" t="s">
        <v>536</v>
      </c>
      <c r="L330" t="s">
        <v>535</v>
      </c>
    </row>
    <row r="331" spans="1:12" x14ac:dyDescent="0.35">
      <c r="A331" s="209" t="s">
        <v>222</v>
      </c>
      <c r="B331" s="209" t="s">
        <v>175</v>
      </c>
      <c r="C331" t="s">
        <v>477</v>
      </c>
      <c r="D331" t="s">
        <v>223</v>
      </c>
      <c r="E331">
        <v>4780</v>
      </c>
      <c r="F331" s="173" t="s">
        <v>128</v>
      </c>
      <c r="G331" s="173" t="s">
        <v>75</v>
      </c>
      <c r="H331" s="173" t="s">
        <v>66</v>
      </c>
      <c r="I331" s="173" t="s">
        <v>26</v>
      </c>
      <c r="J331" s="175" t="str">
        <f t="shared" si="15"/>
        <v>Drawer FrontContemporary 4780French Cut 4780Fawn Cypress       8208-16</v>
      </c>
      <c r="K331" s="174" t="s">
        <v>538</v>
      </c>
      <c r="L331" t="s">
        <v>537</v>
      </c>
    </row>
    <row r="332" spans="1:12" x14ac:dyDescent="0.35">
      <c r="A332" s="209" t="s">
        <v>226</v>
      </c>
      <c r="B332" s="209" t="s">
        <v>184</v>
      </c>
      <c r="C332" t="s">
        <v>477</v>
      </c>
      <c r="D332" t="s">
        <v>227</v>
      </c>
      <c r="E332">
        <v>4780</v>
      </c>
      <c r="F332" s="173" t="s">
        <v>130</v>
      </c>
      <c r="G332" s="173" t="s">
        <v>75</v>
      </c>
      <c r="H332" s="173" t="s">
        <v>66</v>
      </c>
      <c r="I332" s="173" t="s">
        <v>26</v>
      </c>
      <c r="J332" s="175" t="str">
        <f t="shared" si="15"/>
        <v>Drawer FrontContemporary 4780French Cut 4780River Cherry          7937-38</v>
      </c>
      <c r="K332" s="174" t="s">
        <v>540</v>
      </c>
      <c r="L332" t="s">
        <v>539</v>
      </c>
    </row>
    <row r="333" spans="1:12" x14ac:dyDescent="0.35">
      <c r="A333" s="209" t="s">
        <v>1183</v>
      </c>
      <c r="B333" s="209" t="s">
        <v>1184</v>
      </c>
      <c r="C333" t="s">
        <v>477</v>
      </c>
      <c r="D333" s="210" t="s">
        <v>1185</v>
      </c>
      <c r="E333">
        <v>4780</v>
      </c>
      <c r="F333" s="211" t="s">
        <v>1201</v>
      </c>
      <c r="G333" s="173" t="s">
        <v>75</v>
      </c>
      <c r="H333" s="173" t="s">
        <v>66</v>
      </c>
      <c r="I333" s="173" t="s">
        <v>26</v>
      </c>
      <c r="J333" s="175" t="str">
        <f t="shared" ref="J333:J339" si="20">CONCATENATE(I333,G333,H333,F333)</f>
        <v>Drawer FrontContemporary 4780French Cut 4780Akira                     8233-05</v>
      </c>
      <c r="K333" s="174" t="s">
        <v>1268</v>
      </c>
    </row>
    <row r="334" spans="1:12" x14ac:dyDescent="0.35">
      <c r="A334" s="209" t="s">
        <v>1186</v>
      </c>
      <c r="B334" s="209" t="s">
        <v>1184</v>
      </c>
      <c r="C334" t="s">
        <v>477</v>
      </c>
      <c r="D334" s="210" t="s">
        <v>1187</v>
      </c>
      <c r="E334">
        <v>4780</v>
      </c>
      <c r="F334" s="211" t="s">
        <v>1200</v>
      </c>
      <c r="G334" s="173" t="s">
        <v>75</v>
      </c>
      <c r="H334" s="173" t="s">
        <v>66</v>
      </c>
      <c r="I334" s="173" t="s">
        <v>26</v>
      </c>
      <c r="J334" s="175" t="str">
        <f t="shared" si="20"/>
        <v>Drawer FrontContemporary 4780French Cut 4780Belair                    8234-05</v>
      </c>
      <c r="K334" s="174" t="s">
        <v>1269</v>
      </c>
    </row>
    <row r="335" spans="1:12" x14ac:dyDescent="0.35">
      <c r="A335" s="209" t="s">
        <v>1188</v>
      </c>
      <c r="B335" s="209" t="s">
        <v>1184</v>
      </c>
      <c r="C335" t="s">
        <v>477</v>
      </c>
      <c r="D335" s="210" t="s">
        <v>1189</v>
      </c>
      <c r="E335">
        <v>4780</v>
      </c>
      <c r="F335" s="211" t="s">
        <v>1198</v>
      </c>
      <c r="G335" s="173" t="s">
        <v>75</v>
      </c>
      <c r="H335" s="173" t="s">
        <v>66</v>
      </c>
      <c r="I335" s="173" t="s">
        <v>26</v>
      </c>
      <c r="J335" s="175" t="str">
        <f t="shared" si="20"/>
        <v>Drawer FrontContemporary 4780French Cut 4780Daintree               8235-05</v>
      </c>
      <c r="K335" s="174" t="s">
        <v>1270</v>
      </c>
    </row>
    <row r="336" spans="1:12" x14ac:dyDescent="0.35">
      <c r="A336" s="209" t="s">
        <v>1190</v>
      </c>
      <c r="B336" s="209" t="s">
        <v>1184</v>
      </c>
      <c r="C336" t="s">
        <v>477</v>
      </c>
      <c r="D336" s="210" t="s">
        <v>1191</v>
      </c>
      <c r="E336">
        <v>4780</v>
      </c>
      <c r="F336" s="211" t="s">
        <v>1199</v>
      </c>
      <c r="G336" s="173" t="s">
        <v>75</v>
      </c>
      <c r="H336" s="173" t="s">
        <v>66</v>
      </c>
      <c r="I336" s="173" t="s">
        <v>26</v>
      </c>
      <c r="J336" s="175" t="str">
        <f t="shared" si="20"/>
        <v>Drawer FrontContemporary 4780French Cut 4780Monteverdi          8236-05</v>
      </c>
      <c r="K336" s="174" t="s">
        <v>1271</v>
      </c>
    </row>
    <row r="337" spans="1:12" x14ac:dyDescent="0.35">
      <c r="A337" s="209" t="s">
        <v>1192</v>
      </c>
      <c r="B337" s="209" t="s">
        <v>1184</v>
      </c>
      <c r="C337" t="s">
        <v>477</v>
      </c>
      <c r="D337" s="210" t="s">
        <v>1193</v>
      </c>
      <c r="E337">
        <v>4780</v>
      </c>
      <c r="F337" s="211" t="s">
        <v>1202</v>
      </c>
      <c r="G337" s="173" t="s">
        <v>75</v>
      </c>
      <c r="H337" s="173" t="s">
        <v>66</v>
      </c>
      <c r="I337" s="173" t="s">
        <v>26</v>
      </c>
      <c r="J337" s="175" t="str">
        <f t="shared" si="20"/>
        <v>Drawer FrontContemporary 4780French Cut 4780Great Bear           8237-05</v>
      </c>
      <c r="K337" s="174" t="s">
        <v>1272</v>
      </c>
    </row>
    <row r="338" spans="1:12" x14ac:dyDescent="0.35">
      <c r="A338" s="209" t="s">
        <v>1194</v>
      </c>
      <c r="B338" s="209" t="s">
        <v>1184</v>
      </c>
      <c r="C338" t="s">
        <v>477</v>
      </c>
      <c r="D338" s="210" t="s">
        <v>1195</v>
      </c>
      <c r="E338">
        <v>4780</v>
      </c>
      <c r="F338" s="211" t="s">
        <v>1203</v>
      </c>
      <c r="G338" s="173" t="s">
        <v>75</v>
      </c>
      <c r="H338" s="173" t="s">
        <v>66</v>
      </c>
      <c r="I338" s="173" t="s">
        <v>26</v>
      </c>
      <c r="J338" s="175" t="str">
        <f t="shared" si="20"/>
        <v>Drawer FrontContemporary 4780French Cut 4780Fairchild               8238-05</v>
      </c>
      <c r="K338" s="174" t="s">
        <v>1273</v>
      </c>
    </row>
    <row r="339" spans="1:12" x14ac:dyDescent="0.35">
      <c r="A339" s="209" t="s">
        <v>1196</v>
      </c>
      <c r="B339" s="209" t="s">
        <v>198</v>
      </c>
      <c r="C339" t="s">
        <v>477</v>
      </c>
      <c r="D339" s="210" t="s">
        <v>1197</v>
      </c>
      <c r="E339">
        <v>4780</v>
      </c>
      <c r="F339" s="211" t="s">
        <v>1204</v>
      </c>
      <c r="G339" s="173" t="s">
        <v>75</v>
      </c>
      <c r="H339" s="173" t="s">
        <v>66</v>
      </c>
      <c r="I339" s="173" t="s">
        <v>26</v>
      </c>
      <c r="J339" s="175" t="str">
        <f t="shared" si="20"/>
        <v>Drawer FrontContemporary 4780French Cut 4780Indigo                   D379-60</v>
      </c>
      <c r="K339" s="174" t="s">
        <v>1274</v>
      </c>
    </row>
    <row r="340" spans="1:12" x14ac:dyDescent="0.35">
      <c r="A340" s="209" t="s">
        <v>1106</v>
      </c>
      <c r="B340" s="209" t="s">
        <v>1115</v>
      </c>
      <c r="C340" t="s">
        <v>477</v>
      </c>
      <c r="D340" t="s">
        <v>880</v>
      </c>
      <c r="E340">
        <v>4780</v>
      </c>
      <c r="F340" t="s">
        <v>891</v>
      </c>
      <c r="G340" s="173" t="s">
        <v>75</v>
      </c>
      <c r="H340" s="173" t="s">
        <v>66</v>
      </c>
      <c r="I340" s="173" t="s">
        <v>26</v>
      </c>
      <c r="J340" s="175" t="str">
        <f t="shared" ref="J340:J350" si="21">CONCATENATE(I340,G340,H340,F340)</f>
        <v>Drawer FrontContemporary 4780French Cut 4780White Cypress    7976-79</v>
      </c>
      <c r="K340" s="174" t="s">
        <v>1000</v>
      </c>
    </row>
    <row r="341" spans="1:12" x14ac:dyDescent="0.35">
      <c r="A341" s="209" t="s">
        <v>1107</v>
      </c>
      <c r="B341" s="209" t="s">
        <v>1115</v>
      </c>
      <c r="C341" t="s">
        <v>477</v>
      </c>
      <c r="D341" t="s">
        <v>881</v>
      </c>
      <c r="E341">
        <v>4780</v>
      </c>
      <c r="F341" t="s">
        <v>892</v>
      </c>
      <c r="G341" s="173" t="s">
        <v>75</v>
      </c>
      <c r="H341" s="173" t="s">
        <v>66</v>
      </c>
      <c r="I341" s="173" t="s">
        <v>26</v>
      </c>
      <c r="J341" s="175" t="str">
        <f t="shared" si="21"/>
        <v>Drawer FrontContemporary 4780French Cut 4780Randolph Forest    8225-79</v>
      </c>
      <c r="K341" s="174" t="s">
        <v>1001</v>
      </c>
    </row>
    <row r="342" spans="1:12" x14ac:dyDescent="0.35">
      <c r="A342" s="209" t="s">
        <v>1108</v>
      </c>
      <c r="B342" s="209" t="s">
        <v>1115</v>
      </c>
      <c r="C342" t="s">
        <v>477</v>
      </c>
      <c r="D342" t="s">
        <v>882</v>
      </c>
      <c r="E342">
        <v>4780</v>
      </c>
      <c r="F342" t="s">
        <v>893</v>
      </c>
      <c r="G342" s="173" t="s">
        <v>75</v>
      </c>
      <c r="H342" s="173" t="s">
        <v>66</v>
      </c>
      <c r="I342" s="173" t="s">
        <v>26</v>
      </c>
      <c r="J342" s="175" t="str">
        <f t="shared" si="21"/>
        <v>Drawer FrontContemporary 4780French Cut 4780Dering Forest    8226-79</v>
      </c>
      <c r="K342" s="174" t="s">
        <v>1002</v>
      </c>
    </row>
    <row r="343" spans="1:12" x14ac:dyDescent="0.35">
      <c r="A343" s="209" t="s">
        <v>1109</v>
      </c>
      <c r="B343" s="209" t="s">
        <v>1115</v>
      </c>
      <c r="C343" t="s">
        <v>477</v>
      </c>
      <c r="D343" t="s">
        <v>883</v>
      </c>
      <c r="E343">
        <v>4780</v>
      </c>
      <c r="F343" t="s">
        <v>894</v>
      </c>
      <c r="G343" s="173" t="s">
        <v>75</v>
      </c>
      <c r="H343" s="173" t="s">
        <v>66</v>
      </c>
      <c r="I343" s="173" t="s">
        <v>26</v>
      </c>
      <c r="J343" s="175" t="str">
        <f t="shared" si="21"/>
        <v>Drawer FrontContemporary 4780French Cut 4780White River Forest    8227-79</v>
      </c>
      <c r="K343" s="174" t="s">
        <v>1003</v>
      </c>
    </row>
    <row r="344" spans="1:12" x14ac:dyDescent="0.35">
      <c r="A344" s="209" t="s">
        <v>1110</v>
      </c>
      <c r="B344" s="209" t="s">
        <v>1115</v>
      </c>
      <c r="C344" t="s">
        <v>477</v>
      </c>
      <c r="D344" t="s">
        <v>884</v>
      </c>
      <c r="E344">
        <v>4780</v>
      </c>
      <c r="F344" t="s">
        <v>895</v>
      </c>
      <c r="G344" s="173" t="s">
        <v>75</v>
      </c>
      <c r="H344" s="173" t="s">
        <v>66</v>
      </c>
      <c r="I344" s="173" t="s">
        <v>26</v>
      </c>
      <c r="J344" s="175" t="str">
        <f t="shared" si="21"/>
        <v>Drawer FrontContemporary 4780French Cut 4780Avondale Ash    8228-79</v>
      </c>
      <c r="K344" s="174" t="s">
        <v>1004</v>
      </c>
    </row>
    <row r="345" spans="1:12" x14ac:dyDescent="0.35">
      <c r="A345" s="209" t="s">
        <v>1111</v>
      </c>
      <c r="B345" s="209" t="s">
        <v>1115</v>
      </c>
      <c r="C345" t="s">
        <v>477</v>
      </c>
      <c r="D345" t="s">
        <v>885</v>
      </c>
      <c r="E345">
        <v>4780</v>
      </c>
      <c r="F345" t="s">
        <v>896</v>
      </c>
      <c r="G345" s="173" t="s">
        <v>75</v>
      </c>
      <c r="H345" s="173" t="s">
        <v>66</v>
      </c>
      <c r="I345" s="173" t="s">
        <v>26</v>
      </c>
      <c r="J345" s="175" t="str">
        <f t="shared" si="21"/>
        <v>Drawer FrontContemporary 4780French Cut 4780Friston Ash    8229-79</v>
      </c>
      <c r="K345" s="174" t="s">
        <v>1005</v>
      </c>
    </row>
    <row r="346" spans="1:12" x14ac:dyDescent="0.35">
      <c r="A346" s="209" t="s">
        <v>1112</v>
      </c>
      <c r="B346" s="209" t="s">
        <v>1115</v>
      </c>
      <c r="C346" t="s">
        <v>477</v>
      </c>
      <c r="D346" t="s">
        <v>886</v>
      </c>
      <c r="E346">
        <v>4780</v>
      </c>
      <c r="F346" t="s">
        <v>897</v>
      </c>
      <c r="G346" s="173" t="s">
        <v>75</v>
      </c>
      <c r="H346" s="173" t="s">
        <v>66</v>
      </c>
      <c r="I346" s="173" t="s">
        <v>26</v>
      </c>
      <c r="J346" s="175" t="str">
        <f t="shared" si="21"/>
        <v>Drawer FrontContemporary 4780French Cut 4780Valley Forge Elm    8231-79</v>
      </c>
      <c r="K346" s="174" t="s">
        <v>1006</v>
      </c>
    </row>
    <row r="347" spans="1:12" x14ac:dyDescent="0.35">
      <c r="A347" s="209" t="s">
        <v>1113</v>
      </c>
      <c r="B347" s="209" t="s">
        <v>193</v>
      </c>
      <c r="C347" t="s">
        <v>477</v>
      </c>
      <c r="D347" t="s">
        <v>887</v>
      </c>
      <c r="E347">
        <v>4780</v>
      </c>
      <c r="F347" t="s">
        <v>898</v>
      </c>
      <c r="G347" s="173" t="s">
        <v>75</v>
      </c>
      <c r="H347" s="173" t="s">
        <v>66</v>
      </c>
      <c r="I347" s="173" t="s">
        <v>26</v>
      </c>
      <c r="J347" s="175" t="str">
        <f t="shared" si="21"/>
        <v>Drawer FrontContemporary 4780French Cut 4780High Line    7970-28</v>
      </c>
      <c r="K347" s="174" t="s">
        <v>1007</v>
      </c>
    </row>
    <row r="348" spans="1:12" x14ac:dyDescent="0.35">
      <c r="A348" s="209" t="s">
        <v>183</v>
      </c>
      <c r="B348" s="209" t="s">
        <v>193</v>
      </c>
      <c r="C348" t="s">
        <v>477</v>
      </c>
      <c r="D348" t="s">
        <v>888</v>
      </c>
      <c r="E348">
        <v>4780</v>
      </c>
      <c r="F348" t="s">
        <v>899</v>
      </c>
      <c r="G348" s="173" t="s">
        <v>75</v>
      </c>
      <c r="H348" s="173" t="s">
        <v>66</v>
      </c>
      <c r="I348" s="173" t="s">
        <v>26</v>
      </c>
      <c r="J348" s="175" t="str">
        <f t="shared" si="21"/>
        <v>Drawer FrontContemporary 4780French Cut 4780Neowalnut    7991-28</v>
      </c>
      <c r="K348" s="174" t="s">
        <v>1008</v>
      </c>
    </row>
    <row r="349" spans="1:12" x14ac:dyDescent="0.35">
      <c r="A349" s="209" t="s">
        <v>1114</v>
      </c>
      <c r="B349" s="209" t="s">
        <v>193</v>
      </c>
      <c r="C349" t="s">
        <v>477</v>
      </c>
      <c r="D349" t="s">
        <v>889</v>
      </c>
      <c r="E349">
        <v>4780</v>
      </c>
      <c r="F349" t="s">
        <v>900</v>
      </c>
      <c r="G349" s="173" t="s">
        <v>75</v>
      </c>
      <c r="H349" s="173" t="s">
        <v>66</v>
      </c>
      <c r="I349" s="173" t="s">
        <v>26</v>
      </c>
      <c r="J349" s="175" t="str">
        <f t="shared" si="21"/>
        <v>Drawer FrontContemporary 4780French Cut 4780Portico Teak    8210-28</v>
      </c>
      <c r="K349" s="174" t="s">
        <v>1009</v>
      </c>
    </row>
    <row r="350" spans="1:12" x14ac:dyDescent="0.35">
      <c r="A350" s="209" t="s">
        <v>879</v>
      </c>
      <c r="B350" s="209" t="s">
        <v>198</v>
      </c>
      <c r="C350" t="s">
        <v>477</v>
      </c>
      <c r="D350" t="s">
        <v>890</v>
      </c>
      <c r="E350">
        <v>4780</v>
      </c>
      <c r="F350" t="s">
        <v>901</v>
      </c>
      <c r="G350" s="173" t="s">
        <v>75</v>
      </c>
      <c r="H350" s="173" t="s">
        <v>66</v>
      </c>
      <c r="I350" s="173" t="s">
        <v>26</v>
      </c>
      <c r="J350" s="175" t="str">
        <f t="shared" si="21"/>
        <v>Drawer FrontContemporary 4780French Cut 4780Pepperdust    D327-60</v>
      </c>
      <c r="K350" s="174" t="s">
        <v>1010</v>
      </c>
    </row>
    <row r="351" spans="1:12" x14ac:dyDescent="0.35">
      <c r="A351" s="209" t="s">
        <v>230</v>
      </c>
      <c r="B351" s="209" t="s">
        <v>165</v>
      </c>
      <c r="C351" t="s">
        <v>477</v>
      </c>
      <c r="D351" t="s">
        <v>231</v>
      </c>
      <c r="E351">
        <v>4780</v>
      </c>
      <c r="F351" s="173" t="s">
        <v>12</v>
      </c>
      <c r="G351" s="173" t="s">
        <v>75</v>
      </c>
      <c r="H351" s="173" t="s">
        <v>66</v>
      </c>
      <c r="I351" s="173" t="s">
        <v>26</v>
      </c>
      <c r="J351" s="175" t="str">
        <f t="shared" si="15"/>
        <v>Drawer FrontContemporary 4780French Cut 4780Columbian Walnut  7943-07</v>
      </c>
      <c r="K351" s="174" t="s">
        <v>542</v>
      </c>
      <c r="L351" t="s">
        <v>541</v>
      </c>
    </row>
    <row r="352" spans="1:12" x14ac:dyDescent="0.35">
      <c r="A352" s="209" t="s">
        <v>234</v>
      </c>
      <c r="B352" s="209" t="s">
        <v>184</v>
      </c>
      <c r="C352" t="s">
        <v>477</v>
      </c>
      <c r="D352" t="s">
        <v>235</v>
      </c>
      <c r="E352">
        <v>4780</v>
      </c>
      <c r="F352" s="173" t="s">
        <v>131</v>
      </c>
      <c r="G352" s="173" t="s">
        <v>75</v>
      </c>
      <c r="H352" s="173" t="s">
        <v>66</v>
      </c>
      <c r="I352" s="173" t="s">
        <v>26</v>
      </c>
      <c r="J352" s="175" t="str">
        <f t="shared" si="15"/>
        <v>Drawer FrontContemporary 4780French Cut 4780Florence Walnut    7993-38</v>
      </c>
      <c r="K352" s="174" t="s">
        <v>544</v>
      </c>
      <c r="L352" t="s">
        <v>543</v>
      </c>
    </row>
    <row r="353" spans="1:12" x14ac:dyDescent="0.35">
      <c r="A353" s="209" t="s">
        <v>164</v>
      </c>
      <c r="B353" s="209" t="s">
        <v>165</v>
      </c>
      <c r="C353" t="s">
        <v>272</v>
      </c>
      <c r="D353" t="s">
        <v>167</v>
      </c>
      <c r="E353">
        <v>4780</v>
      </c>
      <c r="F353" s="173" t="s">
        <v>132</v>
      </c>
      <c r="G353" s="173" t="s">
        <v>75</v>
      </c>
      <c r="H353" s="173" t="s">
        <v>67</v>
      </c>
      <c r="I353" s="173" t="s">
        <v>14</v>
      </c>
      <c r="J353" s="175" t="str">
        <f t="shared" si="15"/>
        <v>DoorContemporary 4780Miter 4780Shaker Cherry       7935-07</v>
      </c>
      <c r="K353" s="174" t="s">
        <v>546</v>
      </c>
      <c r="L353" t="s">
        <v>545</v>
      </c>
    </row>
    <row r="354" spans="1:12" x14ac:dyDescent="0.35">
      <c r="A354" s="209" t="s">
        <v>170</v>
      </c>
      <c r="B354" s="209" t="s">
        <v>165</v>
      </c>
      <c r="C354" t="s">
        <v>272</v>
      </c>
      <c r="D354" t="s">
        <v>171</v>
      </c>
      <c r="E354">
        <v>4780</v>
      </c>
      <c r="F354" s="173" t="s">
        <v>133</v>
      </c>
      <c r="G354" s="173" t="s">
        <v>75</v>
      </c>
      <c r="H354" s="173" t="s">
        <v>67</v>
      </c>
      <c r="I354" s="173" t="s">
        <v>14</v>
      </c>
      <c r="J354" s="175" t="str">
        <f t="shared" si="15"/>
        <v>DoorContemporary 4780Miter 4780Cafelle 7933-07</v>
      </c>
      <c r="K354" s="174" t="s">
        <v>548</v>
      </c>
      <c r="L354" t="s">
        <v>547</v>
      </c>
    </row>
    <row r="355" spans="1:12" x14ac:dyDescent="0.35">
      <c r="A355" s="209" t="s">
        <v>174</v>
      </c>
      <c r="B355" s="209" t="s">
        <v>175</v>
      </c>
      <c r="C355" t="s">
        <v>272</v>
      </c>
      <c r="D355" t="s">
        <v>176</v>
      </c>
      <c r="E355">
        <v>4780</v>
      </c>
      <c r="F355" s="173" t="s">
        <v>123</v>
      </c>
      <c r="G355" s="173" t="s">
        <v>75</v>
      </c>
      <c r="H355" s="173" t="s">
        <v>67</v>
      </c>
      <c r="I355" s="173" t="s">
        <v>14</v>
      </c>
      <c r="J355" s="175" t="str">
        <f t="shared" si="15"/>
        <v>DoorContemporary 4780Miter 4780White Driftwood      8200-16</v>
      </c>
      <c r="K355" s="174" t="s">
        <v>550</v>
      </c>
      <c r="L355" t="s">
        <v>549</v>
      </c>
    </row>
    <row r="356" spans="1:12" x14ac:dyDescent="0.35">
      <c r="A356" s="209" t="s">
        <v>179</v>
      </c>
      <c r="B356" s="209" t="s">
        <v>175</v>
      </c>
      <c r="C356" t="s">
        <v>272</v>
      </c>
      <c r="D356" t="s">
        <v>180</v>
      </c>
      <c r="E356">
        <v>4780</v>
      </c>
      <c r="F356" s="173" t="s">
        <v>124</v>
      </c>
      <c r="G356" s="173" t="s">
        <v>75</v>
      </c>
      <c r="H356" s="173" t="s">
        <v>67</v>
      </c>
      <c r="I356" s="173" t="s">
        <v>14</v>
      </c>
      <c r="J356" s="175" t="str">
        <f t="shared" si="15"/>
        <v>DoorContemporary 4780Miter 4780Weathered Char     8204-16</v>
      </c>
      <c r="K356" s="174" t="s">
        <v>552</v>
      </c>
      <c r="L356" t="s">
        <v>551</v>
      </c>
    </row>
    <row r="357" spans="1:12" x14ac:dyDescent="0.35">
      <c r="A357" s="209" t="s">
        <v>183</v>
      </c>
      <c r="B357" s="209" t="s">
        <v>184</v>
      </c>
      <c r="C357" t="s">
        <v>272</v>
      </c>
      <c r="D357" t="s">
        <v>185</v>
      </c>
      <c r="E357">
        <v>4780</v>
      </c>
      <c r="F357" s="173" t="s">
        <v>134</v>
      </c>
      <c r="G357" s="173" t="s">
        <v>75</v>
      </c>
      <c r="H357" s="173" t="s">
        <v>67</v>
      </c>
      <c r="I357" s="173" t="s">
        <v>14</v>
      </c>
      <c r="J357" s="175" t="str">
        <f t="shared" si="15"/>
        <v>DoorContemporary 4780Miter 4780Neowalnut 7991-38</v>
      </c>
      <c r="K357" s="174" t="s">
        <v>554</v>
      </c>
      <c r="L357" t="s">
        <v>553</v>
      </c>
    </row>
    <row r="358" spans="1:12" x14ac:dyDescent="0.35">
      <c r="A358" s="209" t="s">
        <v>188</v>
      </c>
      <c r="B358" s="209" t="s">
        <v>184</v>
      </c>
      <c r="C358" t="s">
        <v>272</v>
      </c>
      <c r="D358" t="s">
        <v>189</v>
      </c>
      <c r="E358">
        <v>4780</v>
      </c>
      <c r="F358" s="173" t="s">
        <v>135</v>
      </c>
      <c r="G358" s="173" t="s">
        <v>75</v>
      </c>
      <c r="H358" s="173" t="s">
        <v>67</v>
      </c>
      <c r="I358" s="173" t="s">
        <v>14</v>
      </c>
      <c r="J358" s="175" t="str">
        <f t="shared" si="15"/>
        <v>DoorContemporary 4780Miter 4780Ebony Recon        7997-38</v>
      </c>
      <c r="K358" s="174" t="s">
        <v>556</v>
      </c>
      <c r="L358" t="s">
        <v>555</v>
      </c>
    </row>
    <row r="359" spans="1:12" x14ac:dyDescent="0.35">
      <c r="A359" s="209" t="s">
        <v>192</v>
      </c>
      <c r="B359" s="209" t="s">
        <v>193</v>
      </c>
      <c r="C359" t="s">
        <v>272</v>
      </c>
      <c r="D359" t="s">
        <v>194</v>
      </c>
      <c r="E359">
        <v>4780</v>
      </c>
      <c r="F359" s="173" t="s">
        <v>36</v>
      </c>
      <c r="G359" s="173" t="s">
        <v>75</v>
      </c>
      <c r="H359" s="173" t="s">
        <v>67</v>
      </c>
      <c r="I359" s="173" t="s">
        <v>14</v>
      </c>
      <c r="J359" s="175" t="str">
        <f t="shared" si="15"/>
        <v>DoorContemporary 4780Miter 4780Phantom Charcoal  8214-28</v>
      </c>
      <c r="K359" s="174" t="s">
        <v>558</v>
      </c>
      <c r="L359" t="s">
        <v>557</v>
      </c>
    </row>
    <row r="360" spans="1:12" x14ac:dyDescent="0.35">
      <c r="A360" s="209" t="s">
        <v>197</v>
      </c>
      <c r="B360" s="209" t="s">
        <v>198</v>
      </c>
      <c r="C360" t="s">
        <v>272</v>
      </c>
      <c r="D360" t="s">
        <v>199</v>
      </c>
      <c r="E360">
        <v>4780</v>
      </c>
      <c r="F360" s="173" t="s">
        <v>11</v>
      </c>
      <c r="G360" s="173" t="s">
        <v>75</v>
      </c>
      <c r="H360" s="173" t="s">
        <v>67</v>
      </c>
      <c r="I360" s="173" t="s">
        <v>14</v>
      </c>
      <c r="J360" s="175" t="str">
        <f t="shared" si="15"/>
        <v>DoorContemporary 4780Miter 4780Linen  D427-60</v>
      </c>
      <c r="K360" s="174" t="s">
        <v>560</v>
      </c>
      <c r="L360" t="s">
        <v>559</v>
      </c>
    </row>
    <row r="361" spans="1:12" x14ac:dyDescent="0.35">
      <c r="A361" s="209" t="s">
        <v>202</v>
      </c>
      <c r="B361" s="209" t="s">
        <v>193</v>
      </c>
      <c r="C361" t="s">
        <v>272</v>
      </c>
      <c r="D361" t="s">
        <v>203</v>
      </c>
      <c r="E361">
        <v>4780</v>
      </c>
      <c r="F361" s="173" t="s">
        <v>136</v>
      </c>
      <c r="G361" s="173" t="s">
        <v>75</v>
      </c>
      <c r="H361" s="173" t="s">
        <v>67</v>
      </c>
      <c r="I361" s="173" t="s">
        <v>14</v>
      </c>
      <c r="J361" s="175" t="str">
        <f t="shared" si="15"/>
        <v>DoorContemporary 4780Miter 4780Phantom Pearl      8211-28</v>
      </c>
      <c r="K361" s="174" t="s">
        <v>562</v>
      </c>
      <c r="L361" t="s">
        <v>561</v>
      </c>
    </row>
    <row r="362" spans="1:12" x14ac:dyDescent="0.35">
      <c r="A362" s="209" t="s">
        <v>206</v>
      </c>
      <c r="B362" s="209" t="s">
        <v>193</v>
      </c>
      <c r="C362" t="s">
        <v>272</v>
      </c>
      <c r="D362" t="s">
        <v>207</v>
      </c>
      <c r="E362">
        <v>4780</v>
      </c>
      <c r="F362" s="173" t="s">
        <v>125</v>
      </c>
      <c r="G362" s="173" t="s">
        <v>75</v>
      </c>
      <c r="H362" s="173" t="s">
        <v>67</v>
      </c>
      <c r="I362" s="173" t="s">
        <v>14</v>
      </c>
      <c r="J362" s="175" t="str">
        <f t="shared" si="15"/>
        <v>DoorContemporary 4780Miter 4780Veranda Teak        8209-28</v>
      </c>
      <c r="K362" s="174" t="s">
        <v>564</v>
      </c>
      <c r="L362" t="s">
        <v>563</v>
      </c>
    </row>
    <row r="363" spans="1:12" x14ac:dyDescent="0.35">
      <c r="A363" s="209" t="s">
        <v>210</v>
      </c>
      <c r="B363" s="209" t="s">
        <v>175</v>
      </c>
      <c r="C363" t="s">
        <v>272</v>
      </c>
      <c r="D363" t="s">
        <v>211</v>
      </c>
      <c r="E363">
        <v>4780</v>
      </c>
      <c r="F363" s="173" t="s">
        <v>126</v>
      </c>
      <c r="G363" s="173" t="s">
        <v>75</v>
      </c>
      <c r="H363" s="173" t="s">
        <v>67</v>
      </c>
      <c r="I363" s="173" t="s">
        <v>14</v>
      </c>
      <c r="J363" s="175" t="str">
        <f t="shared" si="15"/>
        <v>DoorContemporary 4780Miter 4780Branded Oak         8207-16</v>
      </c>
      <c r="K363" s="174" t="s">
        <v>566</v>
      </c>
      <c r="L363" t="s">
        <v>565</v>
      </c>
    </row>
    <row r="364" spans="1:12" x14ac:dyDescent="0.35">
      <c r="A364" s="209" t="s">
        <v>214</v>
      </c>
      <c r="B364" s="209" t="s">
        <v>175</v>
      </c>
      <c r="C364" t="s">
        <v>272</v>
      </c>
      <c r="D364" t="s">
        <v>215</v>
      </c>
      <c r="E364">
        <v>4780</v>
      </c>
      <c r="F364" s="173" t="s">
        <v>127</v>
      </c>
      <c r="G364" s="173" t="s">
        <v>75</v>
      </c>
      <c r="H364" s="173" t="s">
        <v>67</v>
      </c>
      <c r="I364" s="173" t="s">
        <v>14</v>
      </c>
      <c r="J364" s="175" t="str">
        <f t="shared" si="15"/>
        <v>DoorContemporary 4780Miter 4780Saddle Oak           8206-16</v>
      </c>
      <c r="K364" s="174" t="s">
        <v>568</v>
      </c>
      <c r="L364" t="s">
        <v>567</v>
      </c>
    </row>
    <row r="365" spans="1:12" x14ac:dyDescent="0.35">
      <c r="A365" s="209" t="s">
        <v>218</v>
      </c>
      <c r="B365" s="209" t="s">
        <v>193</v>
      </c>
      <c r="C365" t="s">
        <v>272</v>
      </c>
      <c r="D365" t="s">
        <v>219</v>
      </c>
      <c r="E365">
        <v>4780</v>
      </c>
      <c r="F365" s="173" t="s">
        <v>129</v>
      </c>
      <c r="G365" s="173" t="s">
        <v>75</v>
      </c>
      <c r="H365" s="173" t="s">
        <v>67</v>
      </c>
      <c r="I365" s="173" t="s">
        <v>14</v>
      </c>
      <c r="J365" s="175" t="str">
        <f t="shared" si="15"/>
        <v>DoorContemporary 4780Miter 4780Phantom Ecru       8212-28</v>
      </c>
      <c r="K365" s="174" t="s">
        <v>570</v>
      </c>
      <c r="L365" t="s">
        <v>569</v>
      </c>
    </row>
    <row r="366" spans="1:12" x14ac:dyDescent="0.35">
      <c r="A366" s="209" t="s">
        <v>222</v>
      </c>
      <c r="B366" s="209" t="s">
        <v>175</v>
      </c>
      <c r="C366" t="s">
        <v>272</v>
      </c>
      <c r="D366" t="s">
        <v>223</v>
      </c>
      <c r="E366">
        <v>4780</v>
      </c>
      <c r="F366" s="173" t="s">
        <v>128</v>
      </c>
      <c r="G366" s="173" t="s">
        <v>75</v>
      </c>
      <c r="H366" s="173" t="s">
        <v>67</v>
      </c>
      <c r="I366" s="173" t="s">
        <v>14</v>
      </c>
      <c r="J366" s="175" t="str">
        <f t="shared" si="15"/>
        <v>DoorContemporary 4780Miter 4780Fawn Cypress       8208-16</v>
      </c>
      <c r="K366" s="174" t="s">
        <v>572</v>
      </c>
      <c r="L366" t="s">
        <v>571</v>
      </c>
    </row>
    <row r="367" spans="1:12" x14ac:dyDescent="0.35">
      <c r="A367" s="209" t="s">
        <v>226</v>
      </c>
      <c r="B367" s="209" t="s">
        <v>184</v>
      </c>
      <c r="C367" t="s">
        <v>272</v>
      </c>
      <c r="D367" t="s">
        <v>227</v>
      </c>
      <c r="E367">
        <v>4780</v>
      </c>
      <c r="F367" s="173" t="s">
        <v>130</v>
      </c>
      <c r="G367" s="173" t="s">
        <v>75</v>
      </c>
      <c r="H367" s="173" t="s">
        <v>67</v>
      </c>
      <c r="I367" s="173" t="s">
        <v>14</v>
      </c>
      <c r="J367" s="175" t="str">
        <f t="shared" si="15"/>
        <v>DoorContemporary 4780Miter 4780River Cherry          7937-38</v>
      </c>
      <c r="K367" s="174" t="s">
        <v>574</v>
      </c>
      <c r="L367" t="s">
        <v>573</v>
      </c>
    </row>
    <row r="368" spans="1:12" x14ac:dyDescent="0.35">
      <c r="A368" s="209" t="s">
        <v>1183</v>
      </c>
      <c r="B368" s="209" t="s">
        <v>1184</v>
      </c>
      <c r="C368" t="s">
        <v>272</v>
      </c>
      <c r="D368" s="210" t="s">
        <v>1185</v>
      </c>
      <c r="E368">
        <v>4780</v>
      </c>
      <c r="F368" s="211" t="s">
        <v>1201</v>
      </c>
      <c r="G368" s="173" t="s">
        <v>75</v>
      </c>
      <c r="H368" s="173" t="s">
        <v>67</v>
      </c>
      <c r="I368" s="173" t="s">
        <v>14</v>
      </c>
      <c r="J368" s="175" t="str">
        <f t="shared" ref="J368:J374" si="22">CONCATENATE(I368,G368,H368,F368)</f>
        <v>DoorContemporary 4780Miter 4780Akira                     8233-05</v>
      </c>
      <c r="K368" s="174" t="s">
        <v>1275</v>
      </c>
    </row>
    <row r="369" spans="1:11" x14ac:dyDescent="0.35">
      <c r="A369" s="209" t="s">
        <v>1186</v>
      </c>
      <c r="B369" s="209" t="s">
        <v>1184</v>
      </c>
      <c r="C369" t="s">
        <v>272</v>
      </c>
      <c r="D369" s="210" t="s">
        <v>1187</v>
      </c>
      <c r="E369">
        <v>4780</v>
      </c>
      <c r="F369" s="211" t="s">
        <v>1200</v>
      </c>
      <c r="G369" s="173" t="s">
        <v>75</v>
      </c>
      <c r="H369" s="173" t="s">
        <v>67</v>
      </c>
      <c r="I369" s="173" t="s">
        <v>14</v>
      </c>
      <c r="J369" s="175" t="str">
        <f t="shared" si="22"/>
        <v>DoorContemporary 4780Miter 4780Belair                    8234-05</v>
      </c>
      <c r="K369" s="174" t="s">
        <v>1276</v>
      </c>
    </row>
    <row r="370" spans="1:11" x14ac:dyDescent="0.35">
      <c r="A370" s="209" t="s">
        <v>1188</v>
      </c>
      <c r="B370" s="209" t="s">
        <v>1184</v>
      </c>
      <c r="C370" t="s">
        <v>272</v>
      </c>
      <c r="D370" s="210" t="s">
        <v>1189</v>
      </c>
      <c r="E370">
        <v>4780</v>
      </c>
      <c r="F370" s="211" t="s">
        <v>1198</v>
      </c>
      <c r="G370" s="173" t="s">
        <v>75</v>
      </c>
      <c r="H370" s="173" t="s">
        <v>67</v>
      </c>
      <c r="I370" s="173" t="s">
        <v>14</v>
      </c>
      <c r="J370" s="175" t="str">
        <f t="shared" si="22"/>
        <v>DoorContemporary 4780Miter 4780Daintree               8235-05</v>
      </c>
      <c r="K370" s="174" t="s">
        <v>1277</v>
      </c>
    </row>
    <row r="371" spans="1:11" x14ac:dyDescent="0.35">
      <c r="A371" s="209" t="s">
        <v>1190</v>
      </c>
      <c r="B371" s="209" t="s">
        <v>1184</v>
      </c>
      <c r="C371" t="s">
        <v>272</v>
      </c>
      <c r="D371" s="210" t="s">
        <v>1191</v>
      </c>
      <c r="E371">
        <v>4780</v>
      </c>
      <c r="F371" s="211" t="s">
        <v>1199</v>
      </c>
      <c r="G371" s="173" t="s">
        <v>75</v>
      </c>
      <c r="H371" s="173" t="s">
        <v>67</v>
      </c>
      <c r="I371" s="173" t="s">
        <v>14</v>
      </c>
      <c r="J371" s="175" t="str">
        <f t="shared" si="22"/>
        <v>DoorContemporary 4780Miter 4780Monteverdi          8236-05</v>
      </c>
      <c r="K371" s="174" t="s">
        <v>1278</v>
      </c>
    </row>
    <row r="372" spans="1:11" x14ac:dyDescent="0.35">
      <c r="A372" s="209" t="s">
        <v>1192</v>
      </c>
      <c r="B372" s="209" t="s">
        <v>1184</v>
      </c>
      <c r="C372" t="s">
        <v>272</v>
      </c>
      <c r="D372" s="210" t="s">
        <v>1193</v>
      </c>
      <c r="E372">
        <v>4780</v>
      </c>
      <c r="F372" s="211" t="s">
        <v>1202</v>
      </c>
      <c r="G372" s="173" t="s">
        <v>75</v>
      </c>
      <c r="H372" s="173" t="s">
        <v>67</v>
      </c>
      <c r="I372" s="173" t="s">
        <v>14</v>
      </c>
      <c r="J372" s="175" t="str">
        <f t="shared" si="22"/>
        <v>DoorContemporary 4780Miter 4780Great Bear           8237-05</v>
      </c>
      <c r="K372" s="174" t="s">
        <v>1279</v>
      </c>
    </row>
    <row r="373" spans="1:11" x14ac:dyDescent="0.35">
      <c r="A373" s="209" t="s">
        <v>1194</v>
      </c>
      <c r="B373" s="209" t="s">
        <v>1184</v>
      </c>
      <c r="C373" t="s">
        <v>272</v>
      </c>
      <c r="D373" s="210" t="s">
        <v>1195</v>
      </c>
      <c r="E373">
        <v>4780</v>
      </c>
      <c r="F373" s="211" t="s">
        <v>1203</v>
      </c>
      <c r="G373" s="173" t="s">
        <v>75</v>
      </c>
      <c r="H373" s="173" t="s">
        <v>67</v>
      </c>
      <c r="I373" s="173" t="s">
        <v>14</v>
      </c>
      <c r="J373" s="175" t="str">
        <f t="shared" si="22"/>
        <v>DoorContemporary 4780Miter 4780Fairchild               8238-05</v>
      </c>
      <c r="K373" s="174" t="s">
        <v>1280</v>
      </c>
    </row>
    <row r="374" spans="1:11" x14ac:dyDescent="0.35">
      <c r="A374" s="209" t="s">
        <v>1196</v>
      </c>
      <c r="B374" s="209" t="s">
        <v>198</v>
      </c>
      <c r="C374" t="s">
        <v>272</v>
      </c>
      <c r="D374" s="210" t="s">
        <v>1197</v>
      </c>
      <c r="E374">
        <v>4780</v>
      </c>
      <c r="F374" s="211" t="s">
        <v>1204</v>
      </c>
      <c r="G374" s="173" t="s">
        <v>75</v>
      </c>
      <c r="H374" s="173" t="s">
        <v>67</v>
      </c>
      <c r="I374" s="173" t="s">
        <v>14</v>
      </c>
      <c r="J374" s="175" t="str">
        <f t="shared" si="22"/>
        <v>DoorContemporary 4780Miter 4780Indigo                   D379-60</v>
      </c>
      <c r="K374" s="174" t="s">
        <v>1281</v>
      </c>
    </row>
    <row r="375" spans="1:11" x14ac:dyDescent="0.35">
      <c r="A375" s="209" t="s">
        <v>1106</v>
      </c>
      <c r="B375" s="209" t="s">
        <v>1115</v>
      </c>
      <c r="C375" t="s">
        <v>272</v>
      </c>
      <c r="D375" t="s">
        <v>880</v>
      </c>
      <c r="E375">
        <v>4780</v>
      </c>
      <c r="F375" t="s">
        <v>891</v>
      </c>
      <c r="G375" s="173" t="s">
        <v>75</v>
      </c>
      <c r="H375" s="173" t="s">
        <v>67</v>
      </c>
      <c r="I375" s="173" t="s">
        <v>14</v>
      </c>
      <c r="J375" s="175" t="str">
        <f t="shared" ref="J375:J385" si="23">CONCATENATE(I375,G375,H375,F375)</f>
        <v>DoorContemporary 4780Miter 4780White Cypress    7976-79</v>
      </c>
      <c r="K375" s="174" t="s">
        <v>1011</v>
      </c>
    </row>
    <row r="376" spans="1:11" x14ac:dyDescent="0.35">
      <c r="A376" s="209" t="s">
        <v>1107</v>
      </c>
      <c r="B376" s="209" t="s">
        <v>1115</v>
      </c>
      <c r="C376" t="s">
        <v>272</v>
      </c>
      <c r="D376" t="s">
        <v>881</v>
      </c>
      <c r="E376">
        <v>4780</v>
      </c>
      <c r="F376" t="s">
        <v>892</v>
      </c>
      <c r="G376" s="173" t="s">
        <v>75</v>
      </c>
      <c r="H376" s="173" t="s">
        <v>67</v>
      </c>
      <c r="I376" s="173" t="s">
        <v>14</v>
      </c>
      <c r="J376" s="175" t="str">
        <f t="shared" si="23"/>
        <v>DoorContemporary 4780Miter 4780Randolph Forest    8225-79</v>
      </c>
      <c r="K376" s="174" t="s">
        <v>1179</v>
      </c>
    </row>
    <row r="377" spans="1:11" x14ac:dyDescent="0.35">
      <c r="A377" s="209" t="s">
        <v>1108</v>
      </c>
      <c r="B377" s="209" t="s">
        <v>1115</v>
      </c>
      <c r="C377" t="s">
        <v>272</v>
      </c>
      <c r="D377" t="s">
        <v>882</v>
      </c>
      <c r="E377">
        <v>4780</v>
      </c>
      <c r="F377" t="s">
        <v>893</v>
      </c>
      <c r="G377" s="173" t="s">
        <v>75</v>
      </c>
      <c r="H377" s="173" t="s">
        <v>67</v>
      </c>
      <c r="I377" s="173" t="s">
        <v>14</v>
      </c>
      <c r="J377" s="175" t="str">
        <f t="shared" si="23"/>
        <v>DoorContemporary 4780Miter 4780Dering Forest    8226-79</v>
      </c>
      <c r="K377" s="174" t="s">
        <v>1012</v>
      </c>
    </row>
    <row r="378" spans="1:11" x14ac:dyDescent="0.35">
      <c r="A378" s="209" t="s">
        <v>1109</v>
      </c>
      <c r="B378" s="209" t="s">
        <v>1115</v>
      </c>
      <c r="C378" t="s">
        <v>272</v>
      </c>
      <c r="D378" t="s">
        <v>883</v>
      </c>
      <c r="E378">
        <v>4780</v>
      </c>
      <c r="F378" t="s">
        <v>894</v>
      </c>
      <c r="G378" s="173" t="s">
        <v>75</v>
      </c>
      <c r="H378" s="173" t="s">
        <v>67</v>
      </c>
      <c r="I378" s="173" t="s">
        <v>14</v>
      </c>
      <c r="J378" s="175" t="str">
        <f t="shared" si="23"/>
        <v>DoorContemporary 4780Miter 4780White River Forest    8227-79</v>
      </c>
      <c r="K378" s="174" t="s">
        <v>1013</v>
      </c>
    </row>
    <row r="379" spans="1:11" x14ac:dyDescent="0.35">
      <c r="A379" s="209" t="s">
        <v>1110</v>
      </c>
      <c r="B379" s="209" t="s">
        <v>1115</v>
      </c>
      <c r="C379" t="s">
        <v>272</v>
      </c>
      <c r="D379" t="s">
        <v>884</v>
      </c>
      <c r="E379">
        <v>4780</v>
      </c>
      <c r="F379" t="s">
        <v>895</v>
      </c>
      <c r="G379" s="173" t="s">
        <v>75</v>
      </c>
      <c r="H379" s="173" t="s">
        <v>67</v>
      </c>
      <c r="I379" s="173" t="s">
        <v>14</v>
      </c>
      <c r="J379" s="175" t="str">
        <f t="shared" si="23"/>
        <v>DoorContemporary 4780Miter 4780Avondale Ash    8228-79</v>
      </c>
      <c r="K379" s="174" t="s">
        <v>1014</v>
      </c>
    </row>
    <row r="380" spans="1:11" x14ac:dyDescent="0.35">
      <c r="A380" s="209" t="s">
        <v>1111</v>
      </c>
      <c r="B380" s="209" t="s">
        <v>1115</v>
      </c>
      <c r="C380" t="s">
        <v>272</v>
      </c>
      <c r="D380" t="s">
        <v>885</v>
      </c>
      <c r="E380">
        <v>4780</v>
      </c>
      <c r="F380" t="s">
        <v>896</v>
      </c>
      <c r="G380" s="173" t="s">
        <v>75</v>
      </c>
      <c r="H380" s="173" t="s">
        <v>67</v>
      </c>
      <c r="I380" s="173" t="s">
        <v>14</v>
      </c>
      <c r="J380" s="175" t="str">
        <f t="shared" si="23"/>
        <v>DoorContemporary 4780Miter 4780Friston Ash    8229-79</v>
      </c>
      <c r="K380" s="174" t="s">
        <v>1015</v>
      </c>
    </row>
    <row r="381" spans="1:11" x14ac:dyDescent="0.35">
      <c r="A381" s="209" t="s">
        <v>1112</v>
      </c>
      <c r="B381" s="209" t="s">
        <v>1115</v>
      </c>
      <c r="C381" t="s">
        <v>272</v>
      </c>
      <c r="D381" t="s">
        <v>886</v>
      </c>
      <c r="E381">
        <v>4780</v>
      </c>
      <c r="F381" t="s">
        <v>897</v>
      </c>
      <c r="G381" s="173" t="s">
        <v>75</v>
      </c>
      <c r="H381" s="173" t="s">
        <v>67</v>
      </c>
      <c r="I381" s="173" t="s">
        <v>14</v>
      </c>
      <c r="J381" s="175" t="str">
        <f t="shared" si="23"/>
        <v>DoorContemporary 4780Miter 4780Valley Forge Elm    8231-79</v>
      </c>
      <c r="K381" s="174" t="s">
        <v>1016</v>
      </c>
    </row>
    <row r="382" spans="1:11" x14ac:dyDescent="0.35">
      <c r="A382" s="209" t="s">
        <v>1113</v>
      </c>
      <c r="B382" s="209" t="s">
        <v>193</v>
      </c>
      <c r="C382" t="s">
        <v>272</v>
      </c>
      <c r="D382" t="s">
        <v>887</v>
      </c>
      <c r="E382">
        <v>4780</v>
      </c>
      <c r="F382" t="s">
        <v>898</v>
      </c>
      <c r="G382" s="173" t="s">
        <v>75</v>
      </c>
      <c r="H382" s="173" t="s">
        <v>67</v>
      </c>
      <c r="I382" s="173" t="s">
        <v>14</v>
      </c>
      <c r="J382" s="175" t="str">
        <f t="shared" si="23"/>
        <v>DoorContemporary 4780Miter 4780High Line    7970-28</v>
      </c>
      <c r="K382" s="174" t="s">
        <v>1017</v>
      </c>
    </row>
    <row r="383" spans="1:11" x14ac:dyDescent="0.35">
      <c r="A383" s="209" t="s">
        <v>183</v>
      </c>
      <c r="B383" s="209" t="s">
        <v>193</v>
      </c>
      <c r="C383" t="s">
        <v>272</v>
      </c>
      <c r="D383" t="s">
        <v>888</v>
      </c>
      <c r="E383">
        <v>4780</v>
      </c>
      <c r="F383" t="s">
        <v>899</v>
      </c>
      <c r="G383" s="173" t="s">
        <v>75</v>
      </c>
      <c r="H383" s="173" t="s">
        <v>67</v>
      </c>
      <c r="I383" s="173" t="s">
        <v>14</v>
      </c>
      <c r="J383" s="175" t="str">
        <f t="shared" si="23"/>
        <v>DoorContemporary 4780Miter 4780Neowalnut    7991-28</v>
      </c>
      <c r="K383" s="174" t="s">
        <v>1018</v>
      </c>
    </row>
    <row r="384" spans="1:11" x14ac:dyDescent="0.35">
      <c r="A384" s="209" t="s">
        <v>1114</v>
      </c>
      <c r="B384" s="209" t="s">
        <v>193</v>
      </c>
      <c r="C384" t="s">
        <v>272</v>
      </c>
      <c r="D384" t="s">
        <v>889</v>
      </c>
      <c r="E384">
        <v>4780</v>
      </c>
      <c r="F384" t="s">
        <v>900</v>
      </c>
      <c r="G384" s="173" t="s">
        <v>75</v>
      </c>
      <c r="H384" s="173" t="s">
        <v>67</v>
      </c>
      <c r="I384" s="173" t="s">
        <v>14</v>
      </c>
      <c r="J384" s="175" t="str">
        <f t="shared" si="23"/>
        <v>DoorContemporary 4780Miter 4780Portico Teak    8210-28</v>
      </c>
      <c r="K384" s="174" t="s">
        <v>1019</v>
      </c>
    </row>
    <row r="385" spans="1:12" x14ac:dyDescent="0.35">
      <c r="A385" s="209" t="s">
        <v>879</v>
      </c>
      <c r="B385" s="209" t="s">
        <v>198</v>
      </c>
      <c r="C385" t="s">
        <v>272</v>
      </c>
      <c r="D385" t="s">
        <v>890</v>
      </c>
      <c r="E385">
        <v>4780</v>
      </c>
      <c r="F385" t="s">
        <v>901</v>
      </c>
      <c r="G385" s="173" t="s">
        <v>75</v>
      </c>
      <c r="H385" s="173" t="s">
        <v>67</v>
      </c>
      <c r="I385" s="173" t="s">
        <v>14</v>
      </c>
      <c r="J385" s="175" t="str">
        <f t="shared" si="23"/>
        <v>DoorContemporary 4780Miter 4780Pepperdust    D327-60</v>
      </c>
      <c r="K385" s="174" t="s">
        <v>1020</v>
      </c>
    </row>
    <row r="386" spans="1:12" x14ac:dyDescent="0.35">
      <c r="A386" s="209" t="s">
        <v>230</v>
      </c>
      <c r="B386" s="209" t="s">
        <v>165</v>
      </c>
      <c r="C386" t="s">
        <v>272</v>
      </c>
      <c r="D386" t="s">
        <v>231</v>
      </c>
      <c r="E386">
        <v>4780</v>
      </c>
      <c r="F386" s="173" t="s">
        <v>12</v>
      </c>
      <c r="G386" s="173" t="s">
        <v>75</v>
      </c>
      <c r="H386" s="173" t="s">
        <v>67</v>
      </c>
      <c r="I386" s="173" t="s">
        <v>14</v>
      </c>
      <c r="J386" s="175" t="str">
        <f t="shared" si="15"/>
        <v>DoorContemporary 4780Miter 4780Columbian Walnut  7943-07</v>
      </c>
      <c r="K386" s="174" t="s">
        <v>576</v>
      </c>
      <c r="L386" t="s">
        <v>575</v>
      </c>
    </row>
    <row r="387" spans="1:12" x14ac:dyDescent="0.35">
      <c r="A387" s="209" t="s">
        <v>234</v>
      </c>
      <c r="B387" s="209" t="s">
        <v>184</v>
      </c>
      <c r="C387" t="s">
        <v>272</v>
      </c>
      <c r="D387" t="s">
        <v>235</v>
      </c>
      <c r="E387">
        <v>4780</v>
      </c>
      <c r="F387" s="173" t="s">
        <v>131</v>
      </c>
      <c r="G387" s="173" t="s">
        <v>75</v>
      </c>
      <c r="H387" s="173" t="s">
        <v>67</v>
      </c>
      <c r="I387" s="173" t="s">
        <v>14</v>
      </c>
      <c r="J387" s="175" t="str">
        <f t="shared" si="15"/>
        <v>DoorContemporary 4780Miter 4780Florence Walnut    7993-38</v>
      </c>
      <c r="K387" s="174" t="s">
        <v>578</v>
      </c>
      <c r="L387" t="s">
        <v>577</v>
      </c>
    </row>
    <row r="388" spans="1:12" x14ac:dyDescent="0.35">
      <c r="A388" s="209" t="s">
        <v>164</v>
      </c>
      <c r="B388" s="209" t="s">
        <v>165</v>
      </c>
      <c r="C388" t="s">
        <v>272</v>
      </c>
      <c r="D388" t="s">
        <v>167</v>
      </c>
      <c r="E388">
        <v>4780</v>
      </c>
      <c r="F388" s="173" t="s">
        <v>132</v>
      </c>
      <c r="G388" s="173" t="s">
        <v>75</v>
      </c>
      <c r="H388" s="173" t="s">
        <v>67</v>
      </c>
      <c r="I388" s="173" t="s">
        <v>26</v>
      </c>
      <c r="J388" s="175" t="str">
        <f t="shared" si="15"/>
        <v>Drawer FrontContemporary 4780Miter 4780Shaker Cherry       7935-07</v>
      </c>
      <c r="K388" s="174" t="s">
        <v>580</v>
      </c>
      <c r="L388" t="s">
        <v>579</v>
      </c>
    </row>
    <row r="389" spans="1:12" x14ac:dyDescent="0.35">
      <c r="A389" s="209" t="s">
        <v>170</v>
      </c>
      <c r="B389" s="209" t="s">
        <v>165</v>
      </c>
      <c r="C389" t="s">
        <v>272</v>
      </c>
      <c r="D389" t="s">
        <v>171</v>
      </c>
      <c r="E389">
        <v>4780</v>
      </c>
      <c r="F389" s="173" t="s">
        <v>133</v>
      </c>
      <c r="G389" s="173" t="s">
        <v>75</v>
      </c>
      <c r="H389" s="173" t="s">
        <v>67</v>
      </c>
      <c r="I389" s="173" t="s">
        <v>26</v>
      </c>
      <c r="J389" s="175" t="str">
        <f t="shared" si="15"/>
        <v>Drawer FrontContemporary 4780Miter 4780Cafelle 7933-07</v>
      </c>
      <c r="K389" s="174" t="s">
        <v>582</v>
      </c>
      <c r="L389" t="s">
        <v>581</v>
      </c>
    </row>
    <row r="390" spans="1:12" x14ac:dyDescent="0.35">
      <c r="A390" s="209" t="s">
        <v>174</v>
      </c>
      <c r="B390" s="209" t="s">
        <v>175</v>
      </c>
      <c r="C390" t="s">
        <v>272</v>
      </c>
      <c r="D390" t="s">
        <v>176</v>
      </c>
      <c r="E390">
        <v>4780</v>
      </c>
      <c r="F390" s="173" t="s">
        <v>123</v>
      </c>
      <c r="G390" s="173" t="s">
        <v>75</v>
      </c>
      <c r="H390" s="173" t="s">
        <v>67</v>
      </c>
      <c r="I390" s="173" t="s">
        <v>26</v>
      </c>
      <c r="J390" s="175" t="str">
        <f t="shared" si="15"/>
        <v>Drawer FrontContemporary 4780Miter 4780White Driftwood      8200-16</v>
      </c>
      <c r="K390" s="174" t="s">
        <v>584</v>
      </c>
      <c r="L390" t="s">
        <v>583</v>
      </c>
    </row>
    <row r="391" spans="1:12" x14ac:dyDescent="0.35">
      <c r="A391" s="209" t="s">
        <v>179</v>
      </c>
      <c r="B391" s="209" t="s">
        <v>175</v>
      </c>
      <c r="C391" t="s">
        <v>272</v>
      </c>
      <c r="D391" t="s">
        <v>180</v>
      </c>
      <c r="E391">
        <v>4780</v>
      </c>
      <c r="F391" s="173" t="s">
        <v>124</v>
      </c>
      <c r="G391" s="173" t="s">
        <v>75</v>
      </c>
      <c r="H391" s="173" t="s">
        <v>67</v>
      </c>
      <c r="I391" s="173" t="s">
        <v>26</v>
      </c>
      <c r="J391" s="175" t="str">
        <f t="shared" si="15"/>
        <v>Drawer FrontContemporary 4780Miter 4780Weathered Char     8204-16</v>
      </c>
      <c r="K391" s="174" t="s">
        <v>586</v>
      </c>
      <c r="L391" t="s">
        <v>585</v>
      </c>
    </row>
    <row r="392" spans="1:12" x14ac:dyDescent="0.35">
      <c r="A392" s="209" t="s">
        <v>183</v>
      </c>
      <c r="B392" s="209" t="s">
        <v>184</v>
      </c>
      <c r="C392" t="s">
        <v>272</v>
      </c>
      <c r="D392" t="s">
        <v>185</v>
      </c>
      <c r="E392">
        <v>4780</v>
      </c>
      <c r="F392" s="173" t="s">
        <v>134</v>
      </c>
      <c r="G392" s="173" t="s">
        <v>75</v>
      </c>
      <c r="H392" s="173" t="s">
        <v>67</v>
      </c>
      <c r="I392" s="173" t="s">
        <v>26</v>
      </c>
      <c r="J392" s="175" t="str">
        <f t="shared" si="15"/>
        <v>Drawer FrontContemporary 4780Miter 4780Neowalnut 7991-38</v>
      </c>
      <c r="K392" s="174" t="s">
        <v>588</v>
      </c>
      <c r="L392" t="s">
        <v>587</v>
      </c>
    </row>
    <row r="393" spans="1:12" x14ac:dyDescent="0.35">
      <c r="A393" s="209" t="s">
        <v>188</v>
      </c>
      <c r="B393" s="209" t="s">
        <v>184</v>
      </c>
      <c r="C393" t="s">
        <v>272</v>
      </c>
      <c r="D393" t="s">
        <v>189</v>
      </c>
      <c r="E393">
        <v>4780</v>
      </c>
      <c r="F393" s="173" t="s">
        <v>135</v>
      </c>
      <c r="G393" s="173" t="s">
        <v>75</v>
      </c>
      <c r="H393" s="173" t="s">
        <v>67</v>
      </c>
      <c r="I393" s="173" t="s">
        <v>26</v>
      </c>
      <c r="J393" s="175" t="str">
        <f t="shared" ref="J393:J598" si="24">CONCATENATE(I393,G393,H393,F393)</f>
        <v>Drawer FrontContemporary 4780Miter 4780Ebony Recon        7997-38</v>
      </c>
      <c r="K393" s="174" t="s">
        <v>590</v>
      </c>
      <c r="L393" t="s">
        <v>589</v>
      </c>
    </row>
    <row r="394" spans="1:12" x14ac:dyDescent="0.35">
      <c r="A394" s="209" t="s">
        <v>192</v>
      </c>
      <c r="B394" s="209" t="s">
        <v>193</v>
      </c>
      <c r="C394" t="s">
        <v>272</v>
      </c>
      <c r="D394" t="s">
        <v>194</v>
      </c>
      <c r="E394">
        <v>4780</v>
      </c>
      <c r="F394" s="173" t="s">
        <v>36</v>
      </c>
      <c r="G394" s="173" t="s">
        <v>75</v>
      </c>
      <c r="H394" s="173" t="s">
        <v>67</v>
      </c>
      <c r="I394" s="173" t="s">
        <v>26</v>
      </c>
      <c r="J394" s="175" t="str">
        <f t="shared" si="24"/>
        <v>Drawer FrontContemporary 4780Miter 4780Phantom Charcoal  8214-28</v>
      </c>
      <c r="K394" s="174" t="s">
        <v>592</v>
      </c>
      <c r="L394" t="s">
        <v>591</v>
      </c>
    </row>
    <row r="395" spans="1:12" x14ac:dyDescent="0.35">
      <c r="A395" s="209" t="s">
        <v>197</v>
      </c>
      <c r="B395" s="209" t="s">
        <v>198</v>
      </c>
      <c r="C395" t="s">
        <v>272</v>
      </c>
      <c r="D395" t="s">
        <v>199</v>
      </c>
      <c r="E395">
        <v>4780</v>
      </c>
      <c r="F395" s="173" t="s">
        <v>11</v>
      </c>
      <c r="G395" s="173" t="s">
        <v>75</v>
      </c>
      <c r="H395" s="173" t="s">
        <v>67</v>
      </c>
      <c r="I395" s="173" t="s">
        <v>26</v>
      </c>
      <c r="J395" s="175" t="str">
        <f t="shared" si="24"/>
        <v>Drawer FrontContemporary 4780Miter 4780Linen  D427-60</v>
      </c>
      <c r="K395" s="174" t="s">
        <v>594</v>
      </c>
      <c r="L395" t="s">
        <v>593</v>
      </c>
    </row>
    <row r="396" spans="1:12" x14ac:dyDescent="0.35">
      <c r="A396" s="209" t="s">
        <v>202</v>
      </c>
      <c r="B396" s="209" t="s">
        <v>193</v>
      </c>
      <c r="C396" t="s">
        <v>272</v>
      </c>
      <c r="D396" t="s">
        <v>203</v>
      </c>
      <c r="E396">
        <v>4780</v>
      </c>
      <c r="F396" s="173" t="s">
        <v>136</v>
      </c>
      <c r="G396" s="173" t="s">
        <v>75</v>
      </c>
      <c r="H396" s="173" t="s">
        <v>67</v>
      </c>
      <c r="I396" s="173" t="s">
        <v>26</v>
      </c>
      <c r="J396" s="175" t="str">
        <f t="shared" si="24"/>
        <v>Drawer FrontContemporary 4780Miter 4780Phantom Pearl      8211-28</v>
      </c>
      <c r="K396" s="174" t="s">
        <v>596</v>
      </c>
      <c r="L396" t="s">
        <v>595</v>
      </c>
    </row>
    <row r="397" spans="1:12" x14ac:dyDescent="0.35">
      <c r="A397" s="209" t="s">
        <v>206</v>
      </c>
      <c r="B397" s="209" t="s">
        <v>193</v>
      </c>
      <c r="C397" t="s">
        <v>272</v>
      </c>
      <c r="D397" t="s">
        <v>207</v>
      </c>
      <c r="E397">
        <v>4780</v>
      </c>
      <c r="F397" s="173" t="s">
        <v>125</v>
      </c>
      <c r="G397" s="173" t="s">
        <v>75</v>
      </c>
      <c r="H397" s="173" t="s">
        <v>67</v>
      </c>
      <c r="I397" s="173" t="s">
        <v>26</v>
      </c>
      <c r="J397" s="175" t="str">
        <f t="shared" si="24"/>
        <v>Drawer FrontContemporary 4780Miter 4780Veranda Teak        8209-28</v>
      </c>
      <c r="K397" s="174" t="s">
        <v>598</v>
      </c>
      <c r="L397" t="s">
        <v>597</v>
      </c>
    </row>
    <row r="398" spans="1:12" x14ac:dyDescent="0.35">
      <c r="A398" s="209" t="s">
        <v>210</v>
      </c>
      <c r="B398" s="209" t="s">
        <v>175</v>
      </c>
      <c r="C398" t="s">
        <v>272</v>
      </c>
      <c r="D398" t="s">
        <v>211</v>
      </c>
      <c r="E398">
        <v>4780</v>
      </c>
      <c r="F398" s="173" t="s">
        <v>126</v>
      </c>
      <c r="G398" s="173" t="s">
        <v>75</v>
      </c>
      <c r="H398" s="173" t="s">
        <v>67</v>
      </c>
      <c r="I398" s="173" t="s">
        <v>26</v>
      </c>
      <c r="J398" s="175" t="str">
        <f t="shared" si="24"/>
        <v>Drawer FrontContemporary 4780Miter 4780Branded Oak         8207-16</v>
      </c>
      <c r="K398" s="174" t="s">
        <v>600</v>
      </c>
      <c r="L398" t="s">
        <v>599</v>
      </c>
    </row>
    <row r="399" spans="1:12" x14ac:dyDescent="0.35">
      <c r="A399" s="209" t="s">
        <v>214</v>
      </c>
      <c r="B399" s="209" t="s">
        <v>175</v>
      </c>
      <c r="C399" t="s">
        <v>272</v>
      </c>
      <c r="D399" t="s">
        <v>215</v>
      </c>
      <c r="E399">
        <v>4780</v>
      </c>
      <c r="F399" s="173" t="s">
        <v>127</v>
      </c>
      <c r="G399" s="173" t="s">
        <v>75</v>
      </c>
      <c r="H399" s="173" t="s">
        <v>67</v>
      </c>
      <c r="I399" s="173" t="s">
        <v>26</v>
      </c>
      <c r="J399" s="175" t="str">
        <f t="shared" si="24"/>
        <v>Drawer FrontContemporary 4780Miter 4780Saddle Oak           8206-16</v>
      </c>
      <c r="K399" s="174" t="s">
        <v>602</v>
      </c>
      <c r="L399" t="s">
        <v>601</v>
      </c>
    </row>
    <row r="400" spans="1:12" x14ac:dyDescent="0.35">
      <c r="A400" s="209" t="s">
        <v>218</v>
      </c>
      <c r="B400" s="209" t="s">
        <v>193</v>
      </c>
      <c r="C400" t="s">
        <v>272</v>
      </c>
      <c r="D400" t="s">
        <v>219</v>
      </c>
      <c r="E400">
        <v>4780</v>
      </c>
      <c r="F400" s="173" t="s">
        <v>129</v>
      </c>
      <c r="G400" s="173" t="s">
        <v>75</v>
      </c>
      <c r="H400" s="173" t="s">
        <v>67</v>
      </c>
      <c r="I400" s="173" t="s">
        <v>26</v>
      </c>
      <c r="J400" s="175" t="str">
        <f t="shared" si="24"/>
        <v>Drawer FrontContemporary 4780Miter 4780Phantom Ecru       8212-28</v>
      </c>
      <c r="K400" s="174" t="s">
        <v>604</v>
      </c>
      <c r="L400" t="s">
        <v>603</v>
      </c>
    </row>
    <row r="401" spans="1:12" x14ac:dyDescent="0.35">
      <c r="A401" s="209" t="s">
        <v>222</v>
      </c>
      <c r="B401" s="209" t="s">
        <v>175</v>
      </c>
      <c r="C401" t="s">
        <v>272</v>
      </c>
      <c r="D401" t="s">
        <v>223</v>
      </c>
      <c r="E401">
        <v>4780</v>
      </c>
      <c r="F401" s="173" t="s">
        <v>128</v>
      </c>
      <c r="G401" s="173" t="s">
        <v>75</v>
      </c>
      <c r="H401" s="173" t="s">
        <v>67</v>
      </c>
      <c r="I401" s="173" t="s">
        <v>26</v>
      </c>
      <c r="J401" s="175" t="str">
        <f t="shared" si="24"/>
        <v>Drawer FrontContemporary 4780Miter 4780Fawn Cypress       8208-16</v>
      </c>
      <c r="K401" s="174" t="s">
        <v>606</v>
      </c>
      <c r="L401" t="s">
        <v>605</v>
      </c>
    </row>
    <row r="402" spans="1:12" x14ac:dyDescent="0.35">
      <c r="A402" s="209" t="s">
        <v>226</v>
      </c>
      <c r="B402" s="209" t="s">
        <v>184</v>
      </c>
      <c r="C402" t="s">
        <v>272</v>
      </c>
      <c r="D402" t="s">
        <v>227</v>
      </c>
      <c r="E402">
        <v>4780</v>
      </c>
      <c r="F402" s="173" t="s">
        <v>130</v>
      </c>
      <c r="G402" s="173" t="s">
        <v>75</v>
      </c>
      <c r="H402" s="173" t="s">
        <v>67</v>
      </c>
      <c r="I402" s="173" t="s">
        <v>26</v>
      </c>
      <c r="J402" s="175" t="str">
        <f t="shared" si="24"/>
        <v>Drawer FrontContemporary 4780Miter 4780River Cherry          7937-38</v>
      </c>
      <c r="K402" s="174" t="s">
        <v>608</v>
      </c>
      <c r="L402" t="s">
        <v>607</v>
      </c>
    </row>
    <row r="403" spans="1:12" x14ac:dyDescent="0.35">
      <c r="A403" s="209" t="s">
        <v>1183</v>
      </c>
      <c r="B403" s="209" t="s">
        <v>1184</v>
      </c>
      <c r="C403" t="s">
        <v>272</v>
      </c>
      <c r="D403" s="210" t="s">
        <v>1185</v>
      </c>
      <c r="E403">
        <v>4780</v>
      </c>
      <c r="F403" s="211" t="s">
        <v>1201</v>
      </c>
      <c r="G403" s="173" t="s">
        <v>75</v>
      </c>
      <c r="H403" s="173" t="s">
        <v>67</v>
      </c>
      <c r="I403" s="173" t="s">
        <v>26</v>
      </c>
      <c r="J403" s="175" t="str">
        <f t="shared" ref="J403:J409" si="25">CONCATENATE(I403,G403,H403,F403)</f>
        <v>Drawer FrontContemporary 4780Miter 4780Akira                     8233-05</v>
      </c>
      <c r="K403" s="174" t="s">
        <v>1282</v>
      </c>
    </row>
    <row r="404" spans="1:12" x14ac:dyDescent="0.35">
      <c r="A404" s="209" t="s">
        <v>1186</v>
      </c>
      <c r="B404" s="209" t="s">
        <v>1184</v>
      </c>
      <c r="C404" t="s">
        <v>272</v>
      </c>
      <c r="D404" s="210" t="s">
        <v>1187</v>
      </c>
      <c r="E404">
        <v>4780</v>
      </c>
      <c r="F404" s="211" t="s">
        <v>1200</v>
      </c>
      <c r="G404" s="173" t="s">
        <v>75</v>
      </c>
      <c r="H404" s="173" t="s">
        <v>67</v>
      </c>
      <c r="I404" s="173" t="s">
        <v>26</v>
      </c>
      <c r="J404" s="175" t="str">
        <f t="shared" si="25"/>
        <v>Drawer FrontContemporary 4780Miter 4780Belair                    8234-05</v>
      </c>
      <c r="K404" s="174" t="s">
        <v>1283</v>
      </c>
    </row>
    <row r="405" spans="1:12" x14ac:dyDescent="0.35">
      <c r="A405" s="209" t="s">
        <v>1188</v>
      </c>
      <c r="B405" s="209" t="s">
        <v>1184</v>
      </c>
      <c r="C405" t="s">
        <v>272</v>
      </c>
      <c r="D405" s="210" t="s">
        <v>1189</v>
      </c>
      <c r="E405">
        <v>4780</v>
      </c>
      <c r="F405" s="211" t="s">
        <v>1198</v>
      </c>
      <c r="G405" s="173" t="s">
        <v>75</v>
      </c>
      <c r="H405" s="173" t="s">
        <v>67</v>
      </c>
      <c r="I405" s="173" t="s">
        <v>26</v>
      </c>
      <c r="J405" s="175" t="str">
        <f t="shared" si="25"/>
        <v>Drawer FrontContemporary 4780Miter 4780Daintree               8235-05</v>
      </c>
      <c r="K405" s="174" t="s">
        <v>1284</v>
      </c>
    </row>
    <row r="406" spans="1:12" x14ac:dyDescent="0.35">
      <c r="A406" s="209" t="s">
        <v>1190</v>
      </c>
      <c r="B406" s="209" t="s">
        <v>1184</v>
      </c>
      <c r="C406" t="s">
        <v>272</v>
      </c>
      <c r="D406" s="210" t="s">
        <v>1191</v>
      </c>
      <c r="E406">
        <v>4780</v>
      </c>
      <c r="F406" s="211" t="s">
        <v>1199</v>
      </c>
      <c r="G406" s="173" t="s">
        <v>75</v>
      </c>
      <c r="H406" s="173" t="s">
        <v>67</v>
      </c>
      <c r="I406" s="173" t="s">
        <v>26</v>
      </c>
      <c r="J406" s="175" t="str">
        <f t="shared" si="25"/>
        <v>Drawer FrontContemporary 4780Miter 4780Monteverdi          8236-05</v>
      </c>
      <c r="K406" s="174" t="s">
        <v>1285</v>
      </c>
    </row>
    <row r="407" spans="1:12" x14ac:dyDescent="0.35">
      <c r="A407" s="209" t="s">
        <v>1192</v>
      </c>
      <c r="B407" s="209" t="s">
        <v>1184</v>
      </c>
      <c r="C407" t="s">
        <v>272</v>
      </c>
      <c r="D407" s="210" t="s">
        <v>1193</v>
      </c>
      <c r="E407">
        <v>4780</v>
      </c>
      <c r="F407" s="211" t="s">
        <v>1202</v>
      </c>
      <c r="G407" s="173" t="s">
        <v>75</v>
      </c>
      <c r="H407" s="173" t="s">
        <v>67</v>
      </c>
      <c r="I407" s="173" t="s">
        <v>26</v>
      </c>
      <c r="J407" s="175" t="str">
        <f t="shared" si="25"/>
        <v>Drawer FrontContemporary 4780Miter 4780Great Bear           8237-05</v>
      </c>
      <c r="K407" s="174" t="s">
        <v>1286</v>
      </c>
    </row>
    <row r="408" spans="1:12" x14ac:dyDescent="0.35">
      <c r="A408" s="209" t="s">
        <v>1194</v>
      </c>
      <c r="B408" s="209" t="s">
        <v>1184</v>
      </c>
      <c r="C408" t="s">
        <v>272</v>
      </c>
      <c r="D408" s="210" t="s">
        <v>1195</v>
      </c>
      <c r="E408">
        <v>4780</v>
      </c>
      <c r="F408" s="211" t="s">
        <v>1203</v>
      </c>
      <c r="G408" s="173" t="s">
        <v>75</v>
      </c>
      <c r="H408" s="173" t="s">
        <v>67</v>
      </c>
      <c r="I408" s="173" t="s">
        <v>26</v>
      </c>
      <c r="J408" s="175" t="str">
        <f t="shared" si="25"/>
        <v>Drawer FrontContemporary 4780Miter 4780Fairchild               8238-05</v>
      </c>
      <c r="K408" s="174" t="s">
        <v>1287</v>
      </c>
    </row>
    <row r="409" spans="1:12" x14ac:dyDescent="0.35">
      <c r="A409" s="209" t="s">
        <v>1196</v>
      </c>
      <c r="B409" s="209" t="s">
        <v>198</v>
      </c>
      <c r="C409" t="s">
        <v>272</v>
      </c>
      <c r="D409" s="210" t="s">
        <v>1197</v>
      </c>
      <c r="E409">
        <v>4780</v>
      </c>
      <c r="F409" s="211" t="s">
        <v>1204</v>
      </c>
      <c r="G409" s="173" t="s">
        <v>75</v>
      </c>
      <c r="H409" s="173" t="s">
        <v>67</v>
      </c>
      <c r="I409" s="173" t="s">
        <v>26</v>
      </c>
      <c r="J409" s="175" t="str">
        <f t="shared" si="25"/>
        <v>Drawer FrontContemporary 4780Miter 4780Indigo                   D379-60</v>
      </c>
      <c r="K409" s="174" t="s">
        <v>1288</v>
      </c>
    </row>
    <row r="410" spans="1:12" x14ac:dyDescent="0.35">
      <c r="A410" s="209" t="s">
        <v>1106</v>
      </c>
      <c r="B410" s="209" t="s">
        <v>1115</v>
      </c>
      <c r="C410" t="s">
        <v>272</v>
      </c>
      <c r="D410" t="s">
        <v>880</v>
      </c>
      <c r="E410">
        <v>4780</v>
      </c>
      <c r="F410" t="s">
        <v>891</v>
      </c>
      <c r="G410" s="173" t="s">
        <v>75</v>
      </c>
      <c r="H410" s="173" t="s">
        <v>67</v>
      </c>
      <c r="I410" s="173" t="s">
        <v>26</v>
      </c>
      <c r="J410" s="175" t="str">
        <f t="shared" ref="J410:J420" si="26">CONCATENATE(I410,G410,H410,F410)</f>
        <v>Drawer FrontContemporary 4780Miter 4780White Cypress    7976-79</v>
      </c>
      <c r="K410" s="174" t="s">
        <v>1021</v>
      </c>
    </row>
    <row r="411" spans="1:12" x14ac:dyDescent="0.35">
      <c r="A411" s="209" t="s">
        <v>1107</v>
      </c>
      <c r="B411" s="209" t="s">
        <v>1115</v>
      </c>
      <c r="C411" t="s">
        <v>272</v>
      </c>
      <c r="D411" t="s">
        <v>881</v>
      </c>
      <c r="E411">
        <v>4780</v>
      </c>
      <c r="F411" t="s">
        <v>892</v>
      </c>
      <c r="G411" s="173" t="s">
        <v>75</v>
      </c>
      <c r="H411" s="173" t="s">
        <v>67</v>
      </c>
      <c r="I411" s="173" t="s">
        <v>26</v>
      </c>
      <c r="J411" s="175" t="str">
        <f t="shared" si="26"/>
        <v>Drawer FrontContemporary 4780Miter 4780Randolph Forest    8225-79</v>
      </c>
      <c r="K411" s="174" t="s">
        <v>1022</v>
      </c>
    </row>
    <row r="412" spans="1:12" x14ac:dyDescent="0.35">
      <c r="A412" s="209" t="s">
        <v>1108</v>
      </c>
      <c r="B412" s="209" t="s">
        <v>1115</v>
      </c>
      <c r="C412" t="s">
        <v>272</v>
      </c>
      <c r="D412" t="s">
        <v>882</v>
      </c>
      <c r="E412">
        <v>4780</v>
      </c>
      <c r="F412" t="s">
        <v>893</v>
      </c>
      <c r="G412" s="173" t="s">
        <v>75</v>
      </c>
      <c r="H412" s="173" t="s">
        <v>67</v>
      </c>
      <c r="I412" s="173" t="s">
        <v>26</v>
      </c>
      <c r="J412" s="175" t="str">
        <f t="shared" si="26"/>
        <v>Drawer FrontContemporary 4780Miter 4780Dering Forest    8226-79</v>
      </c>
      <c r="K412" s="174" t="s">
        <v>1023</v>
      </c>
    </row>
    <row r="413" spans="1:12" x14ac:dyDescent="0.35">
      <c r="A413" s="209" t="s">
        <v>1109</v>
      </c>
      <c r="B413" s="209" t="s">
        <v>1115</v>
      </c>
      <c r="C413" t="s">
        <v>272</v>
      </c>
      <c r="D413" t="s">
        <v>883</v>
      </c>
      <c r="E413">
        <v>4780</v>
      </c>
      <c r="F413" t="s">
        <v>894</v>
      </c>
      <c r="G413" s="173" t="s">
        <v>75</v>
      </c>
      <c r="H413" s="173" t="s">
        <v>67</v>
      </c>
      <c r="I413" s="173" t="s">
        <v>26</v>
      </c>
      <c r="J413" s="175" t="str">
        <f t="shared" si="26"/>
        <v>Drawer FrontContemporary 4780Miter 4780White River Forest    8227-79</v>
      </c>
      <c r="K413" s="174" t="s">
        <v>1024</v>
      </c>
    </row>
    <row r="414" spans="1:12" x14ac:dyDescent="0.35">
      <c r="A414" s="209" t="s">
        <v>1110</v>
      </c>
      <c r="B414" s="209" t="s">
        <v>1115</v>
      </c>
      <c r="C414" t="s">
        <v>272</v>
      </c>
      <c r="D414" t="s">
        <v>884</v>
      </c>
      <c r="E414">
        <v>4780</v>
      </c>
      <c r="F414" t="s">
        <v>895</v>
      </c>
      <c r="G414" s="173" t="s">
        <v>75</v>
      </c>
      <c r="H414" s="173" t="s">
        <v>67</v>
      </c>
      <c r="I414" s="173" t="s">
        <v>26</v>
      </c>
      <c r="J414" s="175" t="str">
        <f t="shared" si="26"/>
        <v>Drawer FrontContemporary 4780Miter 4780Avondale Ash    8228-79</v>
      </c>
      <c r="K414" s="174" t="s">
        <v>1025</v>
      </c>
    </row>
    <row r="415" spans="1:12" x14ac:dyDescent="0.35">
      <c r="A415" s="209" t="s">
        <v>1111</v>
      </c>
      <c r="B415" s="209" t="s">
        <v>1115</v>
      </c>
      <c r="C415" t="s">
        <v>272</v>
      </c>
      <c r="D415" t="s">
        <v>885</v>
      </c>
      <c r="E415">
        <v>4780</v>
      </c>
      <c r="F415" t="s">
        <v>896</v>
      </c>
      <c r="G415" s="173" t="s">
        <v>75</v>
      </c>
      <c r="H415" s="173" t="s">
        <v>67</v>
      </c>
      <c r="I415" s="173" t="s">
        <v>26</v>
      </c>
      <c r="J415" s="175" t="str">
        <f t="shared" si="26"/>
        <v>Drawer FrontContemporary 4780Miter 4780Friston Ash    8229-79</v>
      </c>
      <c r="K415" s="174" t="s">
        <v>1026</v>
      </c>
    </row>
    <row r="416" spans="1:12" x14ac:dyDescent="0.35">
      <c r="A416" s="209" t="s">
        <v>1112</v>
      </c>
      <c r="B416" s="209" t="s">
        <v>1115</v>
      </c>
      <c r="C416" t="s">
        <v>272</v>
      </c>
      <c r="D416" t="s">
        <v>886</v>
      </c>
      <c r="E416">
        <v>4780</v>
      </c>
      <c r="F416" t="s">
        <v>897</v>
      </c>
      <c r="G416" s="173" t="s">
        <v>75</v>
      </c>
      <c r="H416" s="173" t="s">
        <v>67</v>
      </c>
      <c r="I416" s="173" t="s">
        <v>26</v>
      </c>
      <c r="J416" s="175" t="str">
        <f t="shared" si="26"/>
        <v>Drawer FrontContemporary 4780Miter 4780Valley Forge Elm    8231-79</v>
      </c>
      <c r="K416" s="174" t="s">
        <v>1027</v>
      </c>
    </row>
    <row r="417" spans="1:12" x14ac:dyDescent="0.35">
      <c r="A417" s="209" t="s">
        <v>1113</v>
      </c>
      <c r="B417" s="209" t="s">
        <v>193</v>
      </c>
      <c r="C417" t="s">
        <v>272</v>
      </c>
      <c r="D417" t="s">
        <v>887</v>
      </c>
      <c r="E417">
        <v>4780</v>
      </c>
      <c r="F417" t="s">
        <v>898</v>
      </c>
      <c r="G417" s="173" t="s">
        <v>75</v>
      </c>
      <c r="H417" s="173" t="s">
        <v>67</v>
      </c>
      <c r="I417" s="173" t="s">
        <v>26</v>
      </c>
      <c r="J417" s="175" t="str">
        <f t="shared" si="26"/>
        <v>Drawer FrontContemporary 4780Miter 4780High Line    7970-28</v>
      </c>
      <c r="K417" s="174" t="s">
        <v>1028</v>
      </c>
    </row>
    <row r="418" spans="1:12" x14ac:dyDescent="0.35">
      <c r="A418" s="209" t="s">
        <v>183</v>
      </c>
      <c r="B418" s="209" t="s">
        <v>193</v>
      </c>
      <c r="C418" t="s">
        <v>272</v>
      </c>
      <c r="D418" t="s">
        <v>888</v>
      </c>
      <c r="E418">
        <v>4780</v>
      </c>
      <c r="F418" t="s">
        <v>899</v>
      </c>
      <c r="G418" s="173" t="s">
        <v>75</v>
      </c>
      <c r="H418" s="173" t="s">
        <v>67</v>
      </c>
      <c r="I418" s="173" t="s">
        <v>26</v>
      </c>
      <c r="J418" s="175" t="str">
        <f t="shared" si="26"/>
        <v>Drawer FrontContemporary 4780Miter 4780Neowalnut    7991-28</v>
      </c>
      <c r="K418" s="174" t="s">
        <v>1029</v>
      </c>
    </row>
    <row r="419" spans="1:12" x14ac:dyDescent="0.35">
      <c r="A419" s="209" t="s">
        <v>1114</v>
      </c>
      <c r="B419" s="209" t="s">
        <v>193</v>
      </c>
      <c r="C419" t="s">
        <v>272</v>
      </c>
      <c r="D419" t="s">
        <v>889</v>
      </c>
      <c r="E419">
        <v>4780</v>
      </c>
      <c r="F419" t="s">
        <v>900</v>
      </c>
      <c r="G419" s="173" t="s">
        <v>75</v>
      </c>
      <c r="H419" s="173" t="s">
        <v>67</v>
      </c>
      <c r="I419" s="173" t="s">
        <v>26</v>
      </c>
      <c r="J419" s="175" t="str">
        <f t="shared" si="26"/>
        <v>Drawer FrontContemporary 4780Miter 4780Portico Teak    8210-28</v>
      </c>
      <c r="K419" s="174" t="s">
        <v>1180</v>
      </c>
    </row>
    <row r="420" spans="1:12" x14ac:dyDescent="0.35">
      <c r="A420" s="209" t="s">
        <v>879</v>
      </c>
      <c r="B420" s="209" t="s">
        <v>198</v>
      </c>
      <c r="C420" t="s">
        <v>272</v>
      </c>
      <c r="D420" t="s">
        <v>890</v>
      </c>
      <c r="E420">
        <v>4780</v>
      </c>
      <c r="F420" t="s">
        <v>901</v>
      </c>
      <c r="G420" s="173" t="s">
        <v>75</v>
      </c>
      <c r="H420" s="173" t="s">
        <v>67</v>
      </c>
      <c r="I420" s="173" t="s">
        <v>26</v>
      </c>
      <c r="J420" s="175" t="str">
        <f t="shared" si="26"/>
        <v>Drawer FrontContemporary 4780Miter 4780Pepperdust    D327-60</v>
      </c>
      <c r="K420" s="174" t="s">
        <v>1030</v>
      </c>
    </row>
    <row r="421" spans="1:12" x14ac:dyDescent="0.35">
      <c r="A421" s="209" t="s">
        <v>230</v>
      </c>
      <c r="B421" s="209" t="s">
        <v>165</v>
      </c>
      <c r="C421" t="s">
        <v>272</v>
      </c>
      <c r="D421" t="s">
        <v>231</v>
      </c>
      <c r="E421">
        <v>4780</v>
      </c>
      <c r="F421" s="173" t="s">
        <v>12</v>
      </c>
      <c r="G421" s="173" t="s">
        <v>75</v>
      </c>
      <c r="H421" s="173" t="s">
        <v>67</v>
      </c>
      <c r="I421" s="173" t="s">
        <v>26</v>
      </c>
      <c r="J421" s="175" t="str">
        <f t="shared" si="24"/>
        <v>Drawer FrontContemporary 4780Miter 4780Columbian Walnut  7943-07</v>
      </c>
      <c r="K421" s="174" t="s">
        <v>610</v>
      </c>
      <c r="L421" t="s">
        <v>609</v>
      </c>
    </row>
    <row r="422" spans="1:12" x14ac:dyDescent="0.35">
      <c r="A422" s="209" t="s">
        <v>234</v>
      </c>
      <c r="B422" s="209" t="s">
        <v>184</v>
      </c>
      <c r="C422" t="s">
        <v>272</v>
      </c>
      <c r="D422" t="s">
        <v>235</v>
      </c>
      <c r="E422">
        <v>4780</v>
      </c>
      <c r="F422" s="173" t="s">
        <v>131</v>
      </c>
      <c r="G422" s="173" t="s">
        <v>75</v>
      </c>
      <c r="H422" s="173" t="s">
        <v>67</v>
      </c>
      <c r="I422" s="173" t="s">
        <v>26</v>
      </c>
      <c r="J422" s="175" t="str">
        <f t="shared" si="24"/>
        <v>Drawer FrontContemporary 4780Miter 4780Florence Walnut    7993-38</v>
      </c>
      <c r="K422" s="174" t="s">
        <v>612</v>
      </c>
      <c r="L422" t="s">
        <v>611</v>
      </c>
    </row>
    <row r="423" spans="1:12" x14ac:dyDescent="0.35">
      <c r="A423" s="209" t="s">
        <v>164</v>
      </c>
      <c r="B423" s="209" t="s">
        <v>165</v>
      </c>
      <c r="C423" t="s">
        <v>166</v>
      </c>
      <c r="D423" t="s">
        <v>167</v>
      </c>
      <c r="E423" t="s">
        <v>615</v>
      </c>
      <c r="F423" s="173" t="s">
        <v>132</v>
      </c>
      <c r="G423" s="173" t="s">
        <v>89</v>
      </c>
      <c r="H423" s="173" t="s">
        <v>68</v>
      </c>
      <c r="I423" s="173" t="s">
        <v>14</v>
      </c>
      <c r="J423" s="175" t="str">
        <f t="shared" si="24"/>
        <v>DoorNarrow Contemporary Combo 4482.4780Shaker 4482/4780Shaker Cherry       7935-07</v>
      </c>
      <c r="K423" s="174" t="s">
        <v>614</v>
      </c>
      <c r="L423" t="s">
        <v>613</v>
      </c>
    </row>
    <row r="424" spans="1:12" x14ac:dyDescent="0.35">
      <c r="A424" s="209" t="s">
        <v>170</v>
      </c>
      <c r="B424" s="209" t="s">
        <v>165</v>
      </c>
      <c r="C424" t="s">
        <v>166</v>
      </c>
      <c r="D424" t="s">
        <v>171</v>
      </c>
      <c r="E424" t="s">
        <v>615</v>
      </c>
      <c r="F424" s="173" t="s">
        <v>133</v>
      </c>
      <c r="G424" s="173" t="s">
        <v>89</v>
      </c>
      <c r="H424" s="173" t="s">
        <v>68</v>
      </c>
      <c r="I424" s="173" t="s">
        <v>14</v>
      </c>
      <c r="J424" s="175" t="str">
        <f t="shared" si="24"/>
        <v>DoorNarrow Contemporary Combo 4482.4780Shaker 4482/4780Cafelle 7933-07</v>
      </c>
      <c r="K424" s="174" t="s">
        <v>617</v>
      </c>
      <c r="L424" t="s">
        <v>616</v>
      </c>
    </row>
    <row r="425" spans="1:12" x14ac:dyDescent="0.35">
      <c r="A425" s="209" t="s">
        <v>174</v>
      </c>
      <c r="B425" s="209" t="s">
        <v>175</v>
      </c>
      <c r="C425" t="s">
        <v>166</v>
      </c>
      <c r="D425" t="s">
        <v>176</v>
      </c>
      <c r="E425" t="s">
        <v>615</v>
      </c>
      <c r="F425" s="173" t="s">
        <v>123</v>
      </c>
      <c r="G425" s="173" t="s">
        <v>89</v>
      </c>
      <c r="H425" s="173" t="s">
        <v>68</v>
      </c>
      <c r="I425" s="173" t="s">
        <v>14</v>
      </c>
      <c r="J425" s="175" t="str">
        <f t="shared" si="24"/>
        <v>DoorNarrow Contemporary Combo 4482.4780Shaker 4482/4780White Driftwood      8200-16</v>
      </c>
      <c r="K425" s="174" t="s">
        <v>619</v>
      </c>
      <c r="L425" t="s">
        <v>618</v>
      </c>
    </row>
    <row r="426" spans="1:12" x14ac:dyDescent="0.35">
      <c r="A426" s="209" t="s">
        <v>179</v>
      </c>
      <c r="B426" s="209" t="s">
        <v>175</v>
      </c>
      <c r="C426" t="s">
        <v>166</v>
      </c>
      <c r="D426" t="s">
        <v>180</v>
      </c>
      <c r="E426" t="s">
        <v>615</v>
      </c>
      <c r="F426" s="173" t="s">
        <v>124</v>
      </c>
      <c r="G426" s="173" t="s">
        <v>89</v>
      </c>
      <c r="H426" s="173" t="s">
        <v>68</v>
      </c>
      <c r="I426" s="173" t="s">
        <v>14</v>
      </c>
      <c r="J426" s="175" t="str">
        <f t="shared" si="24"/>
        <v>DoorNarrow Contemporary Combo 4482.4780Shaker 4482/4780Weathered Char     8204-16</v>
      </c>
      <c r="K426" s="174" t="s">
        <v>620</v>
      </c>
    </row>
    <row r="427" spans="1:12" x14ac:dyDescent="0.35">
      <c r="A427" s="209" t="s">
        <v>622</v>
      </c>
      <c r="B427" s="209" t="s">
        <v>165</v>
      </c>
      <c r="C427" t="s">
        <v>272</v>
      </c>
      <c r="D427" t="s">
        <v>623</v>
      </c>
      <c r="E427" t="s">
        <v>615</v>
      </c>
      <c r="F427" s="173" t="s">
        <v>134</v>
      </c>
      <c r="G427" s="173" t="s">
        <v>89</v>
      </c>
      <c r="H427" s="173" t="s">
        <v>68</v>
      </c>
      <c r="I427" s="173" t="s">
        <v>14</v>
      </c>
      <c r="J427" s="175" t="str">
        <f t="shared" si="24"/>
        <v>DoorNarrow Contemporary Combo 4482.4780Shaker 4482/4780Neowalnut 7991-38</v>
      </c>
      <c r="K427" s="174" t="s">
        <v>1181</v>
      </c>
      <c r="L427" t="s">
        <v>621</v>
      </c>
    </row>
    <row r="428" spans="1:12" x14ac:dyDescent="0.35">
      <c r="A428" s="209" t="s">
        <v>188</v>
      </c>
      <c r="B428" s="209" t="s">
        <v>184</v>
      </c>
      <c r="C428" t="s">
        <v>166</v>
      </c>
      <c r="D428" t="s">
        <v>189</v>
      </c>
      <c r="E428" t="s">
        <v>615</v>
      </c>
      <c r="F428" s="173" t="s">
        <v>135</v>
      </c>
      <c r="G428" s="173" t="s">
        <v>89</v>
      </c>
      <c r="H428" s="173" t="s">
        <v>68</v>
      </c>
      <c r="I428" s="173" t="s">
        <v>14</v>
      </c>
      <c r="J428" s="175" t="str">
        <f t="shared" si="24"/>
        <v>DoorNarrow Contemporary Combo 4482.4780Shaker 4482/4780Ebony Recon        7997-38</v>
      </c>
      <c r="K428" s="174" t="s">
        <v>624</v>
      </c>
    </row>
    <row r="429" spans="1:12" x14ac:dyDescent="0.35">
      <c r="A429" s="209" t="s">
        <v>192</v>
      </c>
      <c r="B429" s="209" t="s">
        <v>193</v>
      </c>
      <c r="C429" t="s">
        <v>166</v>
      </c>
      <c r="D429" t="s">
        <v>194</v>
      </c>
      <c r="E429" t="s">
        <v>615</v>
      </c>
      <c r="F429" s="173" t="s">
        <v>36</v>
      </c>
      <c r="G429" s="173" t="s">
        <v>89</v>
      </c>
      <c r="H429" s="173" t="s">
        <v>68</v>
      </c>
      <c r="I429" s="173" t="s">
        <v>14</v>
      </c>
      <c r="J429" s="175" t="str">
        <f t="shared" si="24"/>
        <v>DoorNarrow Contemporary Combo 4482.4780Shaker 4482/4780Phantom Charcoal  8214-28</v>
      </c>
      <c r="K429" s="174" t="s">
        <v>625</v>
      </c>
    </row>
    <row r="430" spans="1:12" x14ac:dyDescent="0.35">
      <c r="A430" s="209" t="s">
        <v>197</v>
      </c>
      <c r="B430" s="209" t="s">
        <v>198</v>
      </c>
      <c r="C430" t="s">
        <v>166</v>
      </c>
      <c r="D430" t="s">
        <v>199</v>
      </c>
      <c r="E430" t="s">
        <v>615</v>
      </c>
      <c r="F430" s="173" t="s">
        <v>11</v>
      </c>
      <c r="G430" s="173" t="s">
        <v>89</v>
      </c>
      <c r="H430" s="173" t="s">
        <v>68</v>
      </c>
      <c r="I430" s="173" t="s">
        <v>14</v>
      </c>
      <c r="J430" s="175" t="str">
        <f t="shared" si="24"/>
        <v>DoorNarrow Contemporary Combo 4482.4780Shaker 4482/4780Linen  D427-60</v>
      </c>
      <c r="K430" s="174" t="s">
        <v>626</v>
      </c>
    </row>
    <row r="431" spans="1:12" x14ac:dyDescent="0.35">
      <c r="A431" s="209" t="s">
        <v>202</v>
      </c>
      <c r="B431" s="209" t="s">
        <v>193</v>
      </c>
      <c r="C431" t="s">
        <v>166</v>
      </c>
      <c r="D431" t="s">
        <v>203</v>
      </c>
      <c r="E431" t="s">
        <v>615</v>
      </c>
      <c r="F431" s="173" t="s">
        <v>136</v>
      </c>
      <c r="G431" s="173" t="s">
        <v>89</v>
      </c>
      <c r="H431" s="173" t="s">
        <v>68</v>
      </c>
      <c r="I431" s="173" t="s">
        <v>14</v>
      </c>
      <c r="J431" s="175" t="str">
        <f t="shared" si="24"/>
        <v>DoorNarrow Contemporary Combo 4482.4780Shaker 4482/4780Phantom Pearl      8211-28</v>
      </c>
      <c r="K431" s="174" t="s">
        <v>627</v>
      </c>
    </row>
    <row r="432" spans="1:12" x14ac:dyDescent="0.35">
      <c r="A432" s="209" t="s">
        <v>206</v>
      </c>
      <c r="B432" s="209" t="s">
        <v>193</v>
      </c>
      <c r="C432" t="s">
        <v>166</v>
      </c>
      <c r="D432" t="s">
        <v>207</v>
      </c>
      <c r="E432" t="s">
        <v>615</v>
      </c>
      <c r="F432" s="173" t="s">
        <v>125</v>
      </c>
      <c r="G432" s="173" t="s">
        <v>89</v>
      </c>
      <c r="H432" s="173" t="s">
        <v>68</v>
      </c>
      <c r="I432" s="173" t="s">
        <v>14</v>
      </c>
      <c r="J432" s="175" t="str">
        <f t="shared" si="24"/>
        <v>DoorNarrow Contemporary Combo 4482.4780Shaker 4482/4780Veranda Teak        8209-28</v>
      </c>
      <c r="K432" s="174" t="s">
        <v>628</v>
      </c>
    </row>
    <row r="433" spans="1:11" x14ac:dyDescent="0.35">
      <c r="A433" s="209" t="s">
        <v>210</v>
      </c>
      <c r="B433" s="209" t="s">
        <v>175</v>
      </c>
      <c r="C433" t="s">
        <v>166</v>
      </c>
      <c r="D433" t="s">
        <v>211</v>
      </c>
      <c r="E433" t="s">
        <v>615</v>
      </c>
      <c r="F433" s="173" t="s">
        <v>126</v>
      </c>
      <c r="G433" s="173" t="s">
        <v>89</v>
      </c>
      <c r="H433" s="173" t="s">
        <v>68</v>
      </c>
      <c r="I433" s="173" t="s">
        <v>14</v>
      </c>
      <c r="J433" s="175" t="str">
        <f t="shared" si="24"/>
        <v>DoorNarrow Contemporary Combo 4482.4780Shaker 4482/4780Branded Oak         8207-16</v>
      </c>
      <c r="K433" s="174" t="s">
        <v>629</v>
      </c>
    </row>
    <row r="434" spans="1:11" x14ac:dyDescent="0.35">
      <c r="A434" s="209" t="s">
        <v>214</v>
      </c>
      <c r="B434" s="209" t="s">
        <v>175</v>
      </c>
      <c r="C434" t="s">
        <v>166</v>
      </c>
      <c r="D434" t="s">
        <v>215</v>
      </c>
      <c r="E434" t="s">
        <v>615</v>
      </c>
      <c r="F434" s="173" t="s">
        <v>127</v>
      </c>
      <c r="G434" s="173" t="s">
        <v>89</v>
      </c>
      <c r="H434" s="173" t="s">
        <v>68</v>
      </c>
      <c r="I434" s="173" t="s">
        <v>14</v>
      </c>
      <c r="J434" s="175" t="str">
        <f t="shared" si="24"/>
        <v>DoorNarrow Contemporary Combo 4482.4780Shaker 4482/4780Saddle Oak           8206-16</v>
      </c>
      <c r="K434" s="174" t="s">
        <v>630</v>
      </c>
    </row>
    <row r="435" spans="1:11" x14ac:dyDescent="0.35">
      <c r="A435" s="209" t="s">
        <v>218</v>
      </c>
      <c r="B435" s="209" t="s">
        <v>193</v>
      </c>
      <c r="C435" t="s">
        <v>166</v>
      </c>
      <c r="D435" t="s">
        <v>219</v>
      </c>
      <c r="E435" t="s">
        <v>615</v>
      </c>
      <c r="F435" s="173" t="s">
        <v>129</v>
      </c>
      <c r="G435" s="173" t="s">
        <v>89</v>
      </c>
      <c r="H435" s="173" t="s">
        <v>68</v>
      </c>
      <c r="I435" s="173" t="s">
        <v>14</v>
      </c>
      <c r="J435" s="175" t="str">
        <f t="shared" si="24"/>
        <v>DoorNarrow Contemporary Combo 4482.4780Shaker 4482/4780Phantom Ecru       8212-28</v>
      </c>
      <c r="K435" s="174" t="s">
        <v>631</v>
      </c>
    </row>
    <row r="436" spans="1:11" x14ac:dyDescent="0.35">
      <c r="A436" s="209" t="s">
        <v>222</v>
      </c>
      <c r="B436" s="209" t="s">
        <v>175</v>
      </c>
      <c r="C436" t="s">
        <v>166</v>
      </c>
      <c r="D436" t="s">
        <v>223</v>
      </c>
      <c r="E436" t="s">
        <v>615</v>
      </c>
      <c r="F436" s="173" t="s">
        <v>128</v>
      </c>
      <c r="G436" s="173" t="s">
        <v>89</v>
      </c>
      <c r="H436" s="173" t="s">
        <v>68</v>
      </c>
      <c r="I436" s="173" t="s">
        <v>14</v>
      </c>
      <c r="J436" s="175" t="str">
        <f t="shared" si="24"/>
        <v>DoorNarrow Contemporary Combo 4482.4780Shaker 4482/4780Fawn Cypress       8208-16</v>
      </c>
      <c r="K436" s="174" t="s">
        <v>632</v>
      </c>
    </row>
    <row r="437" spans="1:11" x14ac:dyDescent="0.35">
      <c r="A437" s="209" t="s">
        <v>226</v>
      </c>
      <c r="B437" s="209" t="s">
        <v>184</v>
      </c>
      <c r="C437" t="s">
        <v>166</v>
      </c>
      <c r="D437" t="s">
        <v>227</v>
      </c>
      <c r="E437" t="s">
        <v>615</v>
      </c>
      <c r="F437" s="173" t="s">
        <v>130</v>
      </c>
      <c r="G437" s="173" t="s">
        <v>89</v>
      </c>
      <c r="H437" s="173" t="s">
        <v>68</v>
      </c>
      <c r="I437" s="173" t="s">
        <v>14</v>
      </c>
      <c r="J437" s="175" t="str">
        <f t="shared" si="24"/>
        <v>DoorNarrow Contemporary Combo 4482.4780Shaker 4482/4780River Cherry          7937-38</v>
      </c>
      <c r="K437" s="174" t="s">
        <v>633</v>
      </c>
    </row>
    <row r="438" spans="1:11" x14ac:dyDescent="0.35">
      <c r="A438" s="209" t="s">
        <v>1183</v>
      </c>
      <c r="B438" s="209" t="s">
        <v>1184</v>
      </c>
      <c r="C438" t="s">
        <v>166</v>
      </c>
      <c r="D438" s="210" t="s">
        <v>1185</v>
      </c>
      <c r="E438" t="s">
        <v>615</v>
      </c>
      <c r="F438" s="211" t="s">
        <v>1201</v>
      </c>
      <c r="G438" s="173" t="s">
        <v>89</v>
      </c>
      <c r="H438" s="173" t="s">
        <v>68</v>
      </c>
      <c r="I438" s="173" t="s">
        <v>14</v>
      </c>
      <c r="J438" s="175" t="str">
        <f t="shared" ref="J438:J444" si="27">CONCATENATE(I438,G438,H438,F438)</f>
        <v>DoorNarrow Contemporary Combo 4482.4780Shaker 4482/4780Akira                     8233-05</v>
      </c>
      <c r="K438" s="174" t="s">
        <v>1289</v>
      </c>
    </row>
    <row r="439" spans="1:11" x14ac:dyDescent="0.35">
      <c r="A439" s="209" t="s">
        <v>1186</v>
      </c>
      <c r="B439" s="209" t="s">
        <v>1184</v>
      </c>
      <c r="C439" t="s">
        <v>166</v>
      </c>
      <c r="D439" s="210" t="s">
        <v>1187</v>
      </c>
      <c r="E439" t="s">
        <v>615</v>
      </c>
      <c r="F439" s="211" t="s">
        <v>1200</v>
      </c>
      <c r="G439" s="173" t="s">
        <v>89</v>
      </c>
      <c r="H439" s="173" t="s">
        <v>68</v>
      </c>
      <c r="I439" s="173" t="s">
        <v>14</v>
      </c>
      <c r="J439" s="175" t="str">
        <f t="shared" si="27"/>
        <v>DoorNarrow Contemporary Combo 4482.4780Shaker 4482/4780Belair                    8234-05</v>
      </c>
      <c r="K439" s="174" t="s">
        <v>1290</v>
      </c>
    </row>
    <row r="440" spans="1:11" x14ac:dyDescent="0.35">
      <c r="A440" s="209" t="s">
        <v>1188</v>
      </c>
      <c r="B440" s="209" t="s">
        <v>1184</v>
      </c>
      <c r="C440" t="s">
        <v>166</v>
      </c>
      <c r="D440" s="210" t="s">
        <v>1189</v>
      </c>
      <c r="E440" t="s">
        <v>615</v>
      </c>
      <c r="F440" s="211" t="s">
        <v>1198</v>
      </c>
      <c r="G440" s="173" t="s">
        <v>89</v>
      </c>
      <c r="H440" s="173" t="s">
        <v>68</v>
      </c>
      <c r="I440" s="173" t="s">
        <v>14</v>
      </c>
      <c r="J440" s="175" t="str">
        <f t="shared" si="27"/>
        <v>DoorNarrow Contemporary Combo 4482.4780Shaker 4482/4780Daintree               8235-05</v>
      </c>
      <c r="K440" s="174" t="s">
        <v>1291</v>
      </c>
    </row>
    <row r="441" spans="1:11" x14ac:dyDescent="0.35">
      <c r="A441" s="209" t="s">
        <v>1190</v>
      </c>
      <c r="B441" s="209" t="s">
        <v>1184</v>
      </c>
      <c r="C441" t="s">
        <v>166</v>
      </c>
      <c r="D441" s="210" t="s">
        <v>1191</v>
      </c>
      <c r="E441" t="s">
        <v>615</v>
      </c>
      <c r="F441" s="211" t="s">
        <v>1199</v>
      </c>
      <c r="G441" s="173" t="s">
        <v>89</v>
      </c>
      <c r="H441" s="173" t="s">
        <v>68</v>
      </c>
      <c r="I441" s="173" t="s">
        <v>14</v>
      </c>
      <c r="J441" s="175" t="str">
        <f t="shared" si="27"/>
        <v>DoorNarrow Contemporary Combo 4482.4780Shaker 4482/4780Monteverdi          8236-05</v>
      </c>
      <c r="K441" s="174" t="s">
        <v>1292</v>
      </c>
    </row>
    <row r="442" spans="1:11" x14ac:dyDescent="0.35">
      <c r="A442" s="209" t="s">
        <v>1192</v>
      </c>
      <c r="B442" s="209" t="s">
        <v>1184</v>
      </c>
      <c r="C442" t="s">
        <v>166</v>
      </c>
      <c r="D442" s="210" t="s">
        <v>1193</v>
      </c>
      <c r="E442" t="s">
        <v>615</v>
      </c>
      <c r="F442" s="211" t="s">
        <v>1202</v>
      </c>
      <c r="G442" s="173" t="s">
        <v>89</v>
      </c>
      <c r="H442" s="173" t="s">
        <v>68</v>
      </c>
      <c r="I442" s="173" t="s">
        <v>14</v>
      </c>
      <c r="J442" s="175" t="str">
        <f t="shared" si="27"/>
        <v>DoorNarrow Contemporary Combo 4482.4780Shaker 4482/4780Great Bear           8237-05</v>
      </c>
      <c r="K442" s="174" t="s">
        <v>1293</v>
      </c>
    </row>
    <row r="443" spans="1:11" x14ac:dyDescent="0.35">
      <c r="A443" s="209" t="s">
        <v>1194</v>
      </c>
      <c r="B443" s="209" t="s">
        <v>1184</v>
      </c>
      <c r="C443" t="s">
        <v>166</v>
      </c>
      <c r="D443" s="210" t="s">
        <v>1195</v>
      </c>
      <c r="E443" t="s">
        <v>615</v>
      </c>
      <c r="F443" s="211" t="s">
        <v>1203</v>
      </c>
      <c r="G443" s="173" t="s">
        <v>89</v>
      </c>
      <c r="H443" s="173" t="s">
        <v>68</v>
      </c>
      <c r="I443" s="173" t="s">
        <v>14</v>
      </c>
      <c r="J443" s="175" t="str">
        <f t="shared" si="27"/>
        <v>DoorNarrow Contemporary Combo 4482.4780Shaker 4482/4780Fairchild               8238-05</v>
      </c>
      <c r="K443" s="174" t="s">
        <v>1294</v>
      </c>
    </row>
    <row r="444" spans="1:11" x14ac:dyDescent="0.35">
      <c r="A444" s="209" t="s">
        <v>1196</v>
      </c>
      <c r="B444" s="209" t="s">
        <v>198</v>
      </c>
      <c r="C444" t="s">
        <v>166</v>
      </c>
      <c r="D444" s="210" t="s">
        <v>1197</v>
      </c>
      <c r="E444" t="s">
        <v>615</v>
      </c>
      <c r="F444" s="211" t="s">
        <v>1204</v>
      </c>
      <c r="G444" s="173" t="s">
        <v>89</v>
      </c>
      <c r="H444" s="173" t="s">
        <v>68</v>
      </c>
      <c r="I444" s="173" t="s">
        <v>14</v>
      </c>
      <c r="J444" s="175" t="str">
        <f t="shared" si="27"/>
        <v>DoorNarrow Contemporary Combo 4482.4780Shaker 4482/4780Indigo                   D379-60</v>
      </c>
      <c r="K444" s="174" t="s">
        <v>1295</v>
      </c>
    </row>
    <row r="445" spans="1:11" x14ac:dyDescent="0.35">
      <c r="A445" s="209" t="s">
        <v>1106</v>
      </c>
      <c r="B445" s="209" t="s">
        <v>1115</v>
      </c>
      <c r="C445" t="s">
        <v>166</v>
      </c>
      <c r="D445" t="s">
        <v>880</v>
      </c>
      <c r="E445" t="s">
        <v>615</v>
      </c>
      <c r="F445" t="s">
        <v>891</v>
      </c>
      <c r="G445" s="173" t="s">
        <v>89</v>
      </c>
      <c r="H445" s="173" t="s">
        <v>68</v>
      </c>
      <c r="I445" s="173" t="s">
        <v>14</v>
      </c>
      <c r="J445" s="175" t="str">
        <f t="shared" ref="J445:J455" si="28">CONCATENATE(I445,G445,H445,F445)</f>
        <v>DoorNarrow Contemporary Combo 4482.4780Shaker 4482/4780White Cypress    7976-79</v>
      </c>
      <c r="K445" s="174" t="s">
        <v>1031</v>
      </c>
    </row>
    <row r="446" spans="1:11" x14ac:dyDescent="0.35">
      <c r="A446" s="209" t="s">
        <v>1107</v>
      </c>
      <c r="B446" s="209" t="s">
        <v>1115</v>
      </c>
      <c r="C446" t="s">
        <v>166</v>
      </c>
      <c r="D446" t="s">
        <v>881</v>
      </c>
      <c r="E446" t="s">
        <v>615</v>
      </c>
      <c r="F446" t="s">
        <v>892</v>
      </c>
      <c r="G446" s="173" t="s">
        <v>89</v>
      </c>
      <c r="H446" s="173" t="s">
        <v>68</v>
      </c>
      <c r="I446" s="173" t="s">
        <v>14</v>
      </c>
      <c r="J446" s="175" t="str">
        <f t="shared" si="28"/>
        <v>DoorNarrow Contemporary Combo 4482.4780Shaker 4482/4780Randolph Forest    8225-79</v>
      </c>
      <c r="K446" s="174" t="s">
        <v>1032</v>
      </c>
    </row>
    <row r="447" spans="1:11" x14ac:dyDescent="0.35">
      <c r="A447" s="209" t="s">
        <v>1108</v>
      </c>
      <c r="B447" s="209" t="s">
        <v>1115</v>
      </c>
      <c r="C447" t="s">
        <v>166</v>
      </c>
      <c r="D447" t="s">
        <v>882</v>
      </c>
      <c r="E447" t="s">
        <v>615</v>
      </c>
      <c r="F447" t="s">
        <v>893</v>
      </c>
      <c r="G447" s="173" t="s">
        <v>89</v>
      </c>
      <c r="H447" s="173" t="s">
        <v>68</v>
      </c>
      <c r="I447" s="173" t="s">
        <v>14</v>
      </c>
      <c r="J447" s="175" t="str">
        <f t="shared" si="28"/>
        <v>DoorNarrow Contemporary Combo 4482.4780Shaker 4482/4780Dering Forest    8226-79</v>
      </c>
      <c r="K447" s="174" t="s">
        <v>1033</v>
      </c>
    </row>
    <row r="448" spans="1:11" x14ac:dyDescent="0.35">
      <c r="A448" s="209" t="s">
        <v>1109</v>
      </c>
      <c r="B448" s="209" t="s">
        <v>1115</v>
      </c>
      <c r="C448" t="s">
        <v>166</v>
      </c>
      <c r="D448" t="s">
        <v>883</v>
      </c>
      <c r="E448" t="s">
        <v>615</v>
      </c>
      <c r="F448" t="s">
        <v>894</v>
      </c>
      <c r="G448" s="173" t="s">
        <v>89</v>
      </c>
      <c r="H448" s="173" t="s">
        <v>68</v>
      </c>
      <c r="I448" s="173" t="s">
        <v>14</v>
      </c>
      <c r="J448" s="175" t="str">
        <f t="shared" si="28"/>
        <v>DoorNarrow Contemporary Combo 4482.4780Shaker 4482/4780White River Forest    8227-79</v>
      </c>
      <c r="K448" s="174" t="s">
        <v>1034</v>
      </c>
    </row>
    <row r="449" spans="1:11" x14ac:dyDescent="0.35">
      <c r="A449" s="209" t="s">
        <v>1110</v>
      </c>
      <c r="B449" s="209" t="s">
        <v>1115</v>
      </c>
      <c r="C449" t="s">
        <v>166</v>
      </c>
      <c r="D449" t="s">
        <v>884</v>
      </c>
      <c r="E449" t="s">
        <v>615</v>
      </c>
      <c r="F449" t="s">
        <v>895</v>
      </c>
      <c r="G449" s="173" t="s">
        <v>89</v>
      </c>
      <c r="H449" s="173" t="s">
        <v>68</v>
      </c>
      <c r="I449" s="173" t="s">
        <v>14</v>
      </c>
      <c r="J449" s="175" t="str">
        <f t="shared" si="28"/>
        <v>DoorNarrow Contemporary Combo 4482.4780Shaker 4482/4780Avondale Ash    8228-79</v>
      </c>
      <c r="K449" s="174" t="s">
        <v>1035</v>
      </c>
    </row>
    <row r="450" spans="1:11" x14ac:dyDescent="0.35">
      <c r="A450" s="209" t="s">
        <v>1111</v>
      </c>
      <c r="B450" s="209" t="s">
        <v>1115</v>
      </c>
      <c r="C450" t="s">
        <v>166</v>
      </c>
      <c r="D450" t="s">
        <v>885</v>
      </c>
      <c r="E450" t="s">
        <v>615</v>
      </c>
      <c r="F450" t="s">
        <v>896</v>
      </c>
      <c r="G450" s="173" t="s">
        <v>89</v>
      </c>
      <c r="H450" s="173" t="s">
        <v>68</v>
      </c>
      <c r="I450" s="173" t="s">
        <v>14</v>
      </c>
      <c r="J450" s="175" t="str">
        <f t="shared" si="28"/>
        <v>DoorNarrow Contemporary Combo 4482.4780Shaker 4482/4780Friston Ash    8229-79</v>
      </c>
      <c r="K450" s="174" t="s">
        <v>1036</v>
      </c>
    </row>
    <row r="451" spans="1:11" x14ac:dyDescent="0.35">
      <c r="A451" s="209" t="s">
        <v>1112</v>
      </c>
      <c r="B451" s="209" t="s">
        <v>1115</v>
      </c>
      <c r="C451" t="s">
        <v>166</v>
      </c>
      <c r="D451" t="s">
        <v>886</v>
      </c>
      <c r="E451" t="s">
        <v>615</v>
      </c>
      <c r="F451" t="s">
        <v>897</v>
      </c>
      <c r="G451" s="173" t="s">
        <v>89</v>
      </c>
      <c r="H451" s="173" t="s">
        <v>68</v>
      </c>
      <c r="I451" s="173" t="s">
        <v>14</v>
      </c>
      <c r="J451" s="175" t="str">
        <f t="shared" si="28"/>
        <v>DoorNarrow Contemporary Combo 4482.4780Shaker 4482/4780Valley Forge Elm    8231-79</v>
      </c>
      <c r="K451" s="174" t="s">
        <v>1037</v>
      </c>
    </row>
    <row r="452" spans="1:11" x14ac:dyDescent="0.35">
      <c r="A452" s="209" t="s">
        <v>1113</v>
      </c>
      <c r="B452" s="209" t="s">
        <v>193</v>
      </c>
      <c r="C452" t="s">
        <v>166</v>
      </c>
      <c r="D452" t="s">
        <v>887</v>
      </c>
      <c r="E452" t="s">
        <v>615</v>
      </c>
      <c r="F452" t="s">
        <v>898</v>
      </c>
      <c r="G452" s="173" t="s">
        <v>89</v>
      </c>
      <c r="H452" s="173" t="s">
        <v>68</v>
      </c>
      <c r="I452" s="173" t="s">
        <v>14</v>
      </c>
      <c r="J452" s="175" t="str">
        <f t="shared" si="28"/>
        <v>DoorNarrow Contemporary Combo 4482.4780Shaker 4482/4780High Line    7970-28</v>
      </c>
      <c r="K452" s="174" t="s">
        <v>1038</v>
      </c>
    </row>
    <row r="453" spans="1:11" x14ac:dyDescent="0.35">
      <c r="A453" s="209" t="s">
        <v>183</v>
      </c>
      <c r="B453" s="209" t="s">
        <v>193</v>
      </c>
      <c r="C453" t="s">
        <v>166</v>
      </c>
      <c r="D453" t="s">
        <v>888</v>
      </c>
      <c r="E453" t="s">
        <v>615</v>
      </c>
      <c r="F453" t="s">
        <v>899</v>
      </c>
      <c r="G453" s="173" t="s">
        <v>89</v>
      </c>
      <c r="H453" s="173" t="s">
        <v>68</v>
      </c>
      <c r="I453" s="173" t="s">
        <v>14</v>
      </c>
      <c r="J453" s="175" t="str">
        <f t="shared" si="28"/>
        <v>DoorNarrow Contemporary Combo 4482.4780Shaker 4482/4780Neowalnut    7991-28</v>
      </c>
      <c r="K453" s="174" t="s">
        <v>1039</v>
      </c>
    </row>
    <row r="454" spans="1:11" x14ac:dyDescent="0.35">
      <c r="A454" s="209" t="s">
        <v>1114</v>
      </c>
      <c r="B454" s="209" t="s">
        <v>193</v>
      </c>
      <c r="C454" t="s">
        <v>166</v>
      </c>
      <c r="D454" t="s">
        <v>889</v>
      </c>
      <c r="E454" t="s">
        <v>615</v>
      </c>
      <c r="F454" t="s">
        <v>900</v>
      </c>
      <c r="G454" s="173" t="s">
        <v>89</v>
      </c>
      <c r="H454" s="173" t="s">
        <v>68</v>
      </c>
      <c r="I454" s="173" t="s">
        <v>14</v>
      </c>
      <c r="J454" s="175" t="str">
        <f t="shared" si="28"/>
        <v>DoorNarrow Contemporary Combo 4482.4780Shaker 4482/4780Portico Teak    8210-28</v>
      </c>
      <c r="K454" s="174" t="s">
        <v>1040</v>
      </c>
    </row>
    <row r="455" spans="1:11" x14ac:dyDescent="0.35">
      <c r="A455" s="209" t="s">
        <v>879</v>
      </c>
      <c r="B455" s="209" t="s">
        <v>198</v>
      </c>
      <c r="C455" t="s">
        <v>166</v>
      </c>
      <c r="D455" t="s">
        <v>890</v>
      </c>
      <c r="E455" t="s">
        <v>615</v>
      </c>
      <c r="F455" t="s">
        <v>901</v>
      </c>
      <c r="G455" s="173" t="s">
        <v>89</v>
      </c>
      <c r="H455" s="173" t="s">
        <v>68</v>
      </c>
      <c r="I455" s="173" t="s">
        <v>14</v>
      </c>
      <c r="J455" s="175" t="str">
        <f t="shared" si="28"/>
        <v>DoorNarrow Contemporary Combo 4482.4780Shaker 4482/4780Pepperdust    D327-60</v>
      </c>
      <c r="K455" s="174" t="s">
        <v>1041</v>
      </c>
    </row>
    <row r="456" spans="1:11" x14ac:dyDescent="0.35">
      <c r="A456" s="209" t="s">
        <v>230</v>
      </c>
      <c r="B456" s="209" t="s">
        <v>165</v>
      </c>
      <c r="C456" t="s">
        <v>166</v>
      </c>
      <c r="D456" t="s">
        <v>231</v>
      </c>
      <c r="E456" t="s">
        <v>615</v>
      </c>
      <c r="F456" s="173" t="s">
        <v>12</v>
      </c>
      <c r="G456" s="173" t="s">
        <v>89</v>
      </c>
      <c r="H456" s="173" t="s">
        <v>68</v>
      </c>
      <c r="I456" s="173" t="s">
        <v>14</v>
      </c>
      <c r="J456" s="175" t="str">
        <f t="shared" si="24"/>
        <v>DoorNarrow Contemporary Combo 4482.4780Shaker 4482/4780Columbian Walnut  7943-07</v>
      </c>
      <c r="K456" s="174" t="s">
        <v>634</v>
      </c>
    </row>
    <row r="457" spans="1:11" x14ac:dyDescent="0.35">
      <c r="A457" s="209" t="s">
        <v>234</v>
      </c>
      <c r="B457" s="209" t="s">
        <v>184</v>
      </c>
      <c r="C457" t="s">
        <v>166</v>
      </c>
      <c r="D457" t="s">
        <v>235</v>
      </c>
      <c r="E457" t="s">
        <v>615</v>
      </c>
      <c r="F457" s="173" t="s">
        <v>131</v>
      </c>
      <c r="G457" s="173" t="s">
        <v>89</v>
      </c>
      <c r="H457" s="173" t="s">
        <v>68</v>
      </c>
      <c r="I457" s="173" t="s">
        <v>14</v>
      </c>
      <c r="J457" s="175" t="str">
        <f t="shared" si="24"/>
        <v>DoorNarrow Contemporary Combo 4482.4780Shaker 4482/4780Florence Walnut    7993-38</v>
      </c>
      <c r="K457" s="174" t="s">
        <v>635</v>
      </c>
    </row>
    <row r="458" spans="1:11" x14ac:dyDescent="0.35">
      <c r="A458" s="209" t="s">
        <v>164</v>
      </c>
      <c r="B458" s="209" t="s">
        <v>165</v>
      </c>
      <c r="C458" t="s">
        <v>166</v>
      </c>
      <c r="D458" t="s">
        <v>167</v>
      </c>
      <c r="E458" t="s">
        <v>615</v>
      </c>
      <c r="F458" s="173" t="s">
        <v>132</v>
      </c>
      <c r="G458" s="173" t="s">
        <v>89</v>
      </c>
      <c r="H458" s="173" t="s">
        <v>68</v>
      </c>
      <c r="I458" s="173" t="s">
        <v>26</v>
      </c>
      <c r="J458" s="175" t="str">
        <f t="shared" si="24"/>
        <v>Drawer FrontNarrow Contemporary Combo 4482.4780Shaker 4482/4780Shaker Cherry       7935-07</v>
      </c>
      <c r="K458" s="174" t="s">
        <v>636</v>
      </c>
    </row>
    <row r="459" spans="1:11" x14ac:dyDescent="0.35">
      <c r="A459" s="209" t="s">
        <v>170</v>
      </c>
      <c r="B459" s="209" t="s">
        <v>165</v>
      </c>
      <c r="C459" t="s">
        <v>166</v>
      </c>
      <c r="D459" t="s">
        <v>171</v>
      </c>
      <c r="E459" t="s">
        <v>615</v>
      </c>
      <c r="F459" s="173" t="s">
        <v>133</v>
      </c>
      <c r="G459" s="173" t="s">
        <v>89</v>
      </c>
      <c r="H459" s="173" t="s">
        <v>68</v>
      </c>
      <c r="I459" s="173" t="s">
        <v>26</v>
      </c>
      <c r="J459" s="175" t="str">
        <f t="shared" ref="J459:J492" si="29">CONCATENATE(I459,G459,H459,F459)</f>
        <v>Drawer FrontNarrow Contemporary Combo 4482.4780Shaker 4482/4780Cafelle 7933-07</v>
      </c>
      <c r="K459" s="174" t="s">
        <v>637</v>
      </c>
    </row>
    <row r="460" spans="1:11" x14ac:dyDescent="0.35">
      <c r="A460" s="209" t="s">
        <v>174</v>
      </c>
      <c r="B460" s="209" t="s">
        <v>175</v>
      </c>
      <c r="C460" t="s">
        <v>166</v>
      </c>
      <c r="D460" t="s">
        <v>176</v>
      </c>
      <c r="E460" t="s">
        <v>615</v>
      </c>
      <c r="F460" s="173" t="s">
        <v>123</v>
      </c>
      <c r="G460" s="173" t="s">
        <v>89</v>
      </c>
      <c r="H460" s="173" t="s">
        <v>68</v>
      </c>
      <c r="I460" s="173" t="s">
        <v>26</v>
      </c>
      <c r="J460" s="175" t="str">
        <f t="shared" si="29"/>
        <v>Drawer FrontNarrow Contemporary Combo 4482.4780Shaker 4482/4780White Driftwood      8200-16</v>
      </c>
      <c r="K460" s="174" t="s">
        <v>638</v>
      </c>
    </row>
    <row r="461" spans="1:11" x14ac:dyDescent="0.35">
      <c r="A461" s="209" t="s">
        <v>179</v>
      </c>
      <c r="B461" s="209" t="s">
        <v>175</v>
      </c>
      <c r="C461" t="s">
        <v>166</v>
      </c>
      <c r="D461" t="s">
        <v>180</v>
      </c>
      <c r="E461" t="s">
        <v>615</v>
      </c>
      <c r="F461" s="173" t="s">
        <v>124</v>
      </c>
      <c r="G461" s="173" t="s">
        <v>89</v>
      </c>
      <c r="H461" s="173" t="s">
        <v>68</v>
      </c>
      <c r="I461" s="173" t="s">
        <v>26</v>
      </c>
      <c r="J461" s="175" t="str">
        <f t="shared" si="29"/>
        <v>Drawer FrontNarrow Contemporary Combo 4482.4780Shaker 4482/4780Weathered Char     8204-16</v>
      </c>
      <c r="K461" s="174" t="s">
        <v>639</v>
      </c>
    </row>
    <row r="462" spans="1:11" x14ac:dyDescent="0.35">
      <c r="A462" s="209" t="s">
        <v>622</v>
      </c>
      <c r="B462" s="209" t="s">
        <v>165</v>
      </c>
      <c r="C462" t="s">
        <v>272</v>
      </c>
      <c r="D462" t="s">
        <v>623</v>
      </c>
      <c r="E462" t="s">
        <v>615</v>
      </c>
      <c r="F462" s="173" t="s">
        <v>134</v>
      </c>
      <c r="G462" s="173" t="s">
        <v>89</v>
      </c>
      <c r="H462" s="173" t="s">
        <v>68</v>
      </c>
      <c r="I462" s="173" t="s">
        <v>26</v>
      </c>
      <c r="J462" s="175" t="str">
        <f t="shared" si="29"/>
        <v>Drawer FrontNarrow Contemporary Combo 4482.4780Shaker 4482/4780Neowalnut 7991-38</v>
      </c>
      <c r="K462" s="174" t="s">
        <v>640</v>
      </c>
    </row>
    <row r="463" spans="1:11" x14ac:dyDescent="0.35">
      <c r="A463" s="209" t="s">
        <v>188</v>
      </c>
      <c r="B463" s="209" t="s">
        <v>184</v>
      </c>
      <c r="C463" t="s">
        <v>166</v>
      </c>
      <c r="D463" t="s">
        <v>189</v>
      </c>
      <c r="E463" t="s">
        <v>615</v>
      </c>
      <c r="F463" s="173" t="s">
        <v>135</v>
      </c>
      <c r="G463" s="173" t="s">
        <v>89</v>
      </c>
      <c r="H463" s="173" t="s">
        <v>68</v>
      </c>
      <c r="I463" s="173" t="s">
        <v>26</v>
      </c>
      <c r="J463" s="175" t="str">
        <f t="shared" si="29"/>
        <v>Drawer FrontNarrow Contemporary Combo 4482.4780Shaker 4482/4780Ebony Recon        7997-38</v>
      </c>
      <c r="K463" s="174" t="s">
        <v>641</v>
      </c>
    </row>
    <row r="464" spans="1:11" x14ac:dyDescent="0.35">
      <c r="A464" s="209" t="s">
        <v>192</v>
      </c>
      <c r="B464" s="209" t="s">
        <v>193</v>
      </c>
      <c r="C464" t="s">
        <v>166</v>
      </c>
      <c r="D464" t="s">
        <v>194</v>
      </c>
      <c r="E464" t="s">
        <v>615</v>
      </c>
      <c r="F464" s="173" t="s">
        <v>36</v>
      </c>
      <c r="G464" s="173" t="s">
        <v>89</v>
      </c>
      <c r="H464" s="173" t="s">
        <v>68</v>
      </c>
      <c r="I464" s="173" t="s">
        <v>26</v>
      </c>
      <c r="J464" s="175" t="str">
        <f t="shared" si="29"/>
        <v>Drawer FrontNarrow Contemporary Combo 4482.4780Shaker 4482/4780Phantom Charcoal  8214-28</v>
      </c>
      <c r="K464" s="174" t="s">
        <v>642</v>
      </c>
    </row>
    <row r="465" spans="1:11" x14ac:dyDescent="0.35">
      <c r="A465" s="209" t="s">
        <v>197</v>
      </c>
      <c r="B465" s="209" t="s">
        <v>198</v>
      </c>
      <c r="C465" t="s">
        <v>166</v>
      </c>
      <c r="D465" t="s">
        <v>199</v>
      </c>
      <c r="E465" t="s">
        <v>615</v>
      </c>
      <c r="F465" s="173" t="s">
        <v>11</v>
      </c>
      <c r="G465" s="173" t="s">
        <v>89</v>
      </c>
      <c r="H465" s="173" t="s">
        <v>68</v>
      </c>
      <c r="I465" s="173" t="s">
        <v>26</v>
      </c>
      <c r="J465" s="175" t="str">
        <f t="shared" si="29"/>
        <v>Drawer FrontNarrow Contemporary Combo 4482.4780Shaker 4482/4780Linen  D427-60</v>
      </c>
      <c r="K465" s="174" t="s">
        <v>643</v>
      </c>
    </row>
    <row r="466" spans="1:11" x14ac:dyDescent="0.35">
      <c r="A466" s="209" t="s">
        <v>202</v>
      </c>
      <c r="B466" s="209" t="s">
        <v>193</v>
      </c>
      <c r="C466" t="s">
        <v>166</v>
      </c>
      <c r="D466" t="s">
        <v>203</v>
      </c>
      <c r="E466" t="s">
        <v>615</v>
      </c>
      <c r="F466" s="173" t="s">
        <v>136</v>
      </c>
      <c r="G466" s="173" t="s">
        <v>89</v>
      </c>
      <c r="H466" s="173" t="s">
        <v>68</v>
      </c>
      <c r="I466" s="173" t="s">
        <v>26</v>
      </c>
      <c r="J466" s="175" t="str">
        <f t="shared" si="29"/>
        <v>Drawer FrontNarrow Contemporary Combo 4482.4780Shaker 4482/4780Phantom Pearl      8211-28</v>
      </c>
      <c r="K466" s="174" t="s">
        <v>644</v>
      </c>
    </row>
    <row r="467" spans="1:11" x14ac:dyDescent="0.35">
      <c r="A467" s="209" t="s">
        <v>206</v>
      </c>
      <c r="B467" s="209" t="s">
        <v>193</v>
      </c>
      <c r="C467" t="s">
        <v>166</v>
      </c>
      <c r="D467" t="s">
        <v>207</v>
      </c>
      <c r="E467" t="s">
        <v>615</v>
      </c>
      <c r="F467" s="173" t="s">
        <v>125</v>
      </c>
      <c r="G467" s="173" t="s">
        <v>89</v>
      </c>
      <c r="H467" s="173" t="s">
        <v>68</v>
      </c>
      <c r="I467" s="173" t="s">
        <v>26</v>
      </c>
      <c r="J467" s="175" t="str">
        <f t="shared" si="29"/>
        <v>Drawer FrontNarrow Contemporary Combo 4482.4780Shaker 4482/4780Veranda Teak        8209-28</v>
      </c>
      <c r="K467" s="174" t="s">
        <v>645</v>
      </c>
    </row>
    <row r="468" spans="1:11" x14ac:dyDescent="0.35">
      <c r="A468" s="209" t="s">
        <v>210</v>
      </c>
      <c r="B468" s="209" t="s">
        <v>175</v>
      </c>
      <c r="C468" t="s">
        <v>166</v>
      </c>
      <c r="D468" t="s">
        <v>211</v>
      </c>
      <c r="E468" t="s">
        <v>615</v>
      </c>
      <c r="F468" s="173" t="s">
        <v>126</v>
      </c>
      <c r="G468" s="173" t="s">
        <v>89</v>
      </c>
      <c r="H468" s="173" t="s">
        <v>68</v>
      </c>
      <c r="I468" s="173" t="s">
        <v>26</v>
      </c>
      <c r="J468" s="175" t="str">
        <f t="shared" si="29"/>
        <v>Drawer FrontNarrow Contemporary Combo 4482.4780Shaker 4482/4780Branded Oak         8207-16</v>
      </c>
      <c r="K468" s="174" t="s">
        <v>646</v>
      </c>
    </row>
    <row r="469" spans="1:11" x14ac:dyDescent="0.35">
      <c r="A469" s="209" t="s">
        <v>214</v>
      </c>
      <c r="B469" s="209" t="s">
        <v>175</v>
      </c>
      <c r="C469" t="s">
        <v>166</v>
      </c>
      <c r="D469" t="s">
        <v>215</v>
      </c>
      <c r="E469" t="s">
        <v>615</v>
      </c>
      <c r="F469" s="173" t="s">
        <v>127</v>
      </c>
      <c r="G469" s="173" t="s">
        <v>89</v>
      </c>
      <c r="H469" s="173" t="s">
        <v>68</v>
      </c>
      <c r="I469" s="173" t="s">
        <v>26</v>
      </c>
      <c r="J469" s="175" t="str">
        <f t="shared" si="29"/>
        <v>Drawer FrontNarrow Contemporary Combo 4482.4780Shaker 4482/4780Saddle Oak           8206-16</v>
      </c>
      <c r="K469" s="174" t="s">
        <v>647</v>
      </c>
    </row>
    <row r="470" spans="1:11" x14ac:dyDescent="0.35">
      <c r="A470" s="209" t="s">
        <v>218</v>
      </c>
      <c r="B470" s="209" t="s">
        <v>193</v>
      </c>
      <c r="C470" t="s">
        <v>166</v>
      </c>
      <c r="D470" t="s">
        <v>219</v>
      </c>
      <c r="E470" t="s">
        <v>615</v>
      </c>
      <c r="F470" s="173" t="s">
        <v>129</v>
      </c>
      <c r="G470" s="173" t="s">
        <v>89</v>
      </c>
      <c r="H470" s="173" t="s">
        <v>68</v>
      </c>
      <c r="I470" s="173" t="s">
        <v>26</v>
      </c>
      <c r="J470" s="175" t="str">
        <f t="shared" si="29"/>
        <v>Drawer FrontNarrow Contemporary Combo 4482.4780Shaker 4482/4780Phantom Ecru       8212-28</v>
      </c>
      <c r="K470" s="174" t="s">
        <v>648</v>
      </c>
    </row>
    <row r="471" spans="1:11" x14ac:dyDescent="0.35">
      <c r="A471" s="209" t="s">
        <v>222</v>
      </c>
      <c r="B471" s="209" t="s">
        <v>175</v>
      </c>
      <c r="C471" t="s">
        <v>166</v>
      </c>
      <c r="D471" t="s">
        <v>223</v>
      </c>
      <c r="E471" t="s">
        <v>615</v>
      </c>
      <c r="F471" s="173" t="s">
        <v>128</v>
      </c>
      <c r="G471" s="173" t="s">
        <v>89</v>
      </c>
      <c r="H471" s="173" t="s">
        <v>68</v>
      </c>
      <c r="I471" s="173" t="s">
        <v>26</v>
      </c>
      <c r="J471" s="175" t="str">
        <f t="shared" si="29"/>
        <v>Drawer FrontNarrow Contemporary Combo 4482.4780Shaker 4482/4780Fawn Cypress       8208-16</v>
      </c>
      <c r="K471" s="174" t="s">
        <v>649</v>
      </c>
    </row>
    <row r="472" spans="1:11" x14ac:dyDescent="0.35">
      <c r="A472" s="209" t="s">
        <v>226</v>
      </c>
      <c r="B472" s="209" t="s">
        <v>184</v>
      </c>
      <c r="C472" t="s">
        <v>166</v>
      </c>
      <c r="D472" t="s">
        <v>227</v>
      </c>
      <c r="E472" t="s">
        <v>615</v>
      </c>
      <c r="F472" s="173" t="s">
        <v>130</v>
      </c>
      <c r="G472" s="173" t="s">
        <v>89</v>
      </c>
      <c r="H472" s="173" t="s">
        <v>68</v>
      </c>
      <c r="I472" s="173" t="s">
        <v>26</v>
      </c>
      <c r="J472" s="175" t="str">
        <f t="shared" si="29"/>
        <v>Drawer FrontNarrow Contemporary Combo 4482.4780Shaker 4482/4780River Cherry          7937-38</v>
      </c>
      <c r="K472" s="174" t="s">
        <v>650</v>
      </c>
    </row>
    <row r="473" spans="1:11" x14ac:dyDescent="0.35">
      <c r="A473" s="209" t="s">
        <v>1183</v>
      </c>
      <c r="B473" s="209" t="s">
        <v>1184</v>
      </c>
      <c r="C473" t="s">
        <v>166</v>
      </c>
      <c r="D473" s="210" t="s">
        <v>1185</v>
      </c>
      <c r="E473" t="s">
        <v>615</v>
      </c>
      <c r="F473" s="211" t="s">
        <v>1201</v>
      </c>
      <c r="G473" s="173" t="s">
        <v>89</v>
      </c>
      <c r="H473" s="173" t="s">
        <v>68</v>
      </c>
      <c r="I473" s="173" t="s">
        <v>26</v>
      </c>
      <c r="J473" s="175" t="str">
        <f t="shared" si="29"/>
        <v>Drawer FrontNarrow Contemporary Combo 4482.4780Shaker 4482/4780Akira                     8233-05</v>
      </c>
      <c r="K473" s="174" t="s">
        <v>1296</v>
      </c>
    </row>
    <row r="474" spans="1:11" x14ac:dyDescent="0.35">
      <c r="A474" s="209" t="s">
        <v>1186</v>
      </c>
      <c r="B474" s="209" t="s">
        <v>1184</v>
      </c>
      <c r="C474" t="s">
        <v>166</v>
      </c>
      <c r="D474" s="210" t="s">
        <v>1187</v>
      </c>
      <c r="E474" t="s">
        <v>615</v>
      </c>
      <c r="F474" s="211" t="s">
        <v>1200</v>
      </c>
      <c r="G474" s="173" t="s">
        <v>89</v>
      </c>
      <c r="H474" s="173" t="s">
        <v>68</v>
      </c>
      <c r="I474" s="173" t="s">
        <v>26</v>
      </c>
      <c r="J474" s="175" t="str">
        <f t="shared" si="29"/>
        <v>Drawer FrontNarrow Contemporary Combo 4482.4780Shaker 4482/4780Belair                    8234-05</v>
      </c>
      <c r="K474" s="174" t="s">
        <v>1297</v>
      </c>
    </row>
    <row r="475" spans="1:11" x14ac:dyDescent="0.35">
      <c r="A475" s="209" t="s">
        <v>1188</v>
      </c>
      <c r="B475" s="209" t="s">
        <v>1184</v>
      </c>
      <c r="C475" t="s">
        <v>166</v>
      </c>
      <c r="D475" s="210" t="s">
        <v>1189</v>
      </c>
      <c r="E475" t="s">
        <v>615</v>
      </c>
      <c r="F475" s="211" t="s">
        <v>1198</v>
      </c>
      <c r="G475" s="173" t="s">
        <v>89</v>
      </c>
      <c r="H475" s="173" t="s">
        <v>68</v>
      </c>
      <c r="I475" s="173" t="s">
        <v>26</v>
      </c>
      <c r="J475" s="175" t="str">
        <f t="shared" si="29"/>
        <v>Drawer FrontNarrow Contemporary Combo 4482.4780Shaker 4482/4780Daintree               8235-05</v>
      </c>
      <c r="K475" s="174" t="s">
        <v>1298</v>
      </c>
    </row>
    <row r="476" spans="1:11" x14ac:dyDescent="0.35">
      <c r="A476" s="209" t="s">
        <v>1190</v>
      </c>
      <c r="B476" s="209" t="s">
        <v>1184</v>
      </c>
      <c r="C476" t="s">
        <v>166</v>
      </c>
      <c r="D476" s="210" t="s">
        <v>1191</v>
      </c>
      <c r="E476" t="s">
        <v>615</v>
      </c>
      <c r="F476" s="211" t="s">
        <v>1199</v>
      </c>
      <c r="G476" s="173" t="s">
        <v>89</v>
      </c>
      <c r="H476" s="173" t="s">
        <v>68</v>
      </c>
      <c r="I476" s="173" t="s">
        <v>26</v>
      </c>
      <c r="J476" s="175" t="str">
        <f t="shared" si="29"/>
        <v>Drawer FrontNarrow Contemporary Combo 4482.4780Shaker 4482/4780Monteverdi          8236-05</v>
      </c>
      <c r="K476" s="174" t="s">
        <v>1299</v>
      </c>
    </row>
    <row r="477" spans="1:11" x14ac:dyDescent="0.35">
      <c r="A477" s="209" t="s">
        <v>1192</v>
      </c>
      <c r="B477" s="209" t="s">
        <v>1184</v>
      </c>
      <c r="C477" t="s">
        <v>166</v>
      </c>
      <c r="D477" s="210" t="s">
        <v>1193</v>
      </c>
      <c r="E477" t="s">
        <v>615</v>
      </c>
      <c r="F477" s="211" t="s">
        <v>1202</v>
      </c>
      <c r="G477" s="173" t="s">
        <v>89</v>
      </c>
      <c r="H477" s="173" t="s">
        <v>68</v>
      </c>
      <c r="I477" s="173" t="s">
        <v>26</v>
      </c>
      <c r="J477" s="175" t="str">
        <f t="shared" si="29"/>
        <v>Drawer FrontNarrow Contemporary Combo 4482.4780Shaker 4482/4780Great Bear           8237-05</v>
      </c>
      <c r="K477" s="174" t="s">
        <v>1300</v>
      </c>
    </row>
    <row r="478" spans="1:11" x14ac:dyDescent="0.35">
      <c r="A478" s="209" t="s">
        <v>1194</v>
      </c>
      <c r="B478" s="209" t="s">
        <v>1184</v>
      </c>
      <c r="C478" t="s">
        <v>166</v>
      </c>
      <c r="D478" s="210" t="s">
        <v>1195</v>
      </c>
      <c r="E478" t="s">
        <v>615</v>
      </c>
      <c r="F478" s="211" t="s">
        <v>1203</v>
      </c>
      <c r="G478" s="173" t="s">
        <v>89</v>
      </c>
      <c r="H478" s="173" t="s">
        <v>68</v>
      </c>
      <c r="I478" s="173" t="s">
        <v>26</v>
      </c>
      <c r="J478" s="175" t="str">
        <f t="shared" si="29"/>
        <v>Drawer FrontNarrow Contemporary Combo 4482.4780Shaker 4482/4780Fairchild               8238-05</v>
      </c>
      <c r="K478" s="174" t="s">
        <v>1301</v>
      </c>
    </row>
    <row r="479" spans="1:11" x14ac:dyDescent="0.35">
      <c r="A479" s="209" t="s">
        <v>1196</v>
      </c>
      <c r="B479" s="209" t="s">
        <v>198</v>
      </c>
      <c r="C479" t="s">
        <v>166</v>
      </c>
      <c r="D479" s="210" t="s">
        <v>1197</v>
      </c>
      <c r="E479" t="s">
        <v>615</v>
      </c>
      <c r="F479" s="211" t="s">
        <v>1204</v>
      </c>
      <c r="G479" s="173" t="s">
        <v>89</v>
      </c>
      <c r="H479" s="173" t="s">
        <v>68</v>
      </c>
      <c r="I479" s="173" t="s">
        <v>26</v>
      </c>
      <c r="J479" s="175" t="str">
        <f t="shared" si="29"/>
        <v>Drawer FrontNarrow Contemporary Combo 4482.4780Shaker 4482/4780Indigo                   D379-60</v>
      </c>
      <c r="K479" s="174" t="s">
        <v>1302</v>
      </c>
    </row>
    <row r="480" spans="1:11" x14ac:dyDescent="0.35">
      <c r="A480" s="209" t="s">
        <v>1106</v>
      </c>
      <c r="B480" s="209" t="s">
        <v>1115</v>
      </c>
      <c r="C480" t="s">
        <v>166</v>
      </c>
      <c r="D480" t="s">
        <v>880</v>
      </c>
      <c r="E480" t="s">
        <v>615</v>
      </c>
      <c r="F480" t="s">
        <v>891</v>
      </c>
      <c r="G480" s="173" t="s">
        <v>89</v>
      </c>
      <c r="H480" s="173" t="s">
        <v>68</v>
      </c>
      <c r="I480" s="173" t="s">
        <v>26</v>
      </c>
      <c r="J480" s="175" t="str">
        <f t="shared" si="29"/>
        <v>Drawer FrontNarrow Contemporary Combo 4482.4780Shaker 4482/4780White Cypress    7976-79</v>
      </c>
      <c r="K480" s="174" t="s">
        <v>1043</v>
      </c>
    </row>
    <row r="481" spans="1:11" x14ac:dyDescent="0.35">
      <c r="A481" s="209" t="s">
        <v>1107</v>
      </c>
      <c r="B481" s="209" t="s">
        <v>1115</v>
      </c>
      <c r="C481" t="s">
        <v>166</v>
      </c>
      <c r="D481" t="s">
        <v>881</v>
      </c>
      <c r="E481" t="s">
        <v>615</v>
      </c>
      <c r="F481" t="s">
        <v>892</v>
      </c>
      <c r="G481" s="173" t="s">
        <v>89</v>
      </c>
      <c r="H481" s="173" t="s">
        <v>68</v>
      </c>
      <c r="I481" s="173" t="s">
        <v>26</v>
      </c>
      <c r="J481" s="175" t="str">
        <f t="shared" si="29"/>
        <v>Drawer FrontNarrow Contemporary Combo 4482.4780Shaker 4482/4780Randolph Forest    8225-79</v>
      </c>
      <c r="K481" s="174" t="s">
        <v>1044</v>
      </c>
    </row>
    <row r="482" spans="1:11" x14ac:dyDescent="0.35">
      <c r="A482" s="209" t="s">
        <v>1108</v>
      </c>
      <c r="B482" s="209" t="s">
        <v>1115</v>
      </c>
      <c r="C482" t="s">
        <v>166</v>
      </c>
      <c r="D482" t="s">
        <v>882</v>
      </c>
      <c r="E482" t="s">
        <v>615</v>
      </c>
      <c r="F482" t="s">
        <v>893</v>
      </c>
      <c r="G482" s="173" t="s">
        <v>89</v>
      </c>
      <c r="H482" s="173" t="s">
        <v>68</v>
      </c>
      <c r="I482" s="173" t="s">
        <v>26</v>
      </c>
      <c r="J482" s="175" t="str">
        <f t="shared" si="29"/>
        <v>Drawer FrontNarrow Contemporary Combo 4482.4780Shaker 4482/4780Dering Forest    8226-79</v>
      </c>
      <c r="K482" s="174" t="s">
        <v>1045</v>
      </c>
    </row>
    <row r="483" spans="1:11" x14ac:dyDescent="0.35">
      <c r="A483" s="209" t="s">
        <v>1109</v>
      </c>
      <c r="B483" s="209" t="s">
        <v>1115</v>
      </c>
      <c r="C483" t="s">
        <v>166</v>
      </c>
      <c r="D483" t="s">
        <v>883</v>
      </c>
      <c r="E483" t="s">
        <v>615</v>
      </c>
      <c r="F483" t="s">
        <v>894</v>
      </c>
      <c r="G483" s="173" t="s">
        <v>89</v>
      </c>
      <c r="H483" s="173" t="s">
        <v>68</v>
      </c>
      <c r="I483" s="173" t="s">
        <v>26</v>
      </c>
      <c r="J483" s="175" t="str">
        <f t="shared" si="29"/>
        <v>Drawer FrontNarrow Contemporary Combo 4482.4780Shaker 4482/4780White River Forest    8227-79</v>
      </c>
      <c r="K483" s="174" t="s">
        <v>1045</v>
      </c>
    </row>
    <row r="484" spans="1:11" x14ac:dyDescent="0.35">
      <c r="A484" s="209" t="s">
        <v>1110</v>
      </c>
      <c r="B484" s="209" t="s">
        <v>1115</v>
      </c>
      <c r="C484" t="s">
        <v>166</v>
      </c>
      <c r="D484" t="s">
        <v>884</v>
      </c>
      <c r="E484" t="s">
        <v>615</v>
      </c>
      <c r="F484" t="s">
        <v>895</v>
      </c>
      <c r="G484" s="173" t="s">
        <v>89</v>
      </c>
      <c r="H484" s="173" t="s">
        <v>68</v>
      </c>
      <c r="I484" s="173" t="s">
        <v>26</v>
      </c>
      <c r="J484" s="175" t="str">
        <f t="shared" si="29"/>
        <v>Drawer FrontNarrow Contemporary Combo 4482.4780Shaker 4482/4780Avondale Ash    8228-79</v>
      </c>
      <c r="K484" s="174" t="s">
        <v>1046</v>
      </c>
    </row>
    <row r="485" spans="1:11" x14ac:dyDescent="0.35">
      <c r="A485" s="209" t="s">
        <v>1111</v>
      </c>
      <c r="B485" s="209" t="s">
        <v>1115</v>
      </c>
      <c r="C485" t="s">
        <v>166</v>
      </c>
      <c r="D485" t="s">
        <v>885</v>
      </c>
      <c r="E485" t="s">
        <v>615</v>
      </c>
      <c r="F485" t="s">
        <v>896</v>
      </c>
      <c r="G485" s="173" t="s">
        <v>89</v>
      </c>
      <c r="H485" s="173" t="s">
        <v>68</v>
      </c>
      <c r="I485" s="173" t="s">
        <v>26</v>
      </c>
      <c r="J485" s="175" t="str">
        <f t="shared" si="29"/>
        <v>Drawer FrontNarrow Contemporary Combo 4482.4780Shaker 4482/4780Friston Ash    8229-79</v>
      </c>
      <c r="K485" s="174" t="s">
        <v>1047</v>
      </c>
    </row>
    <row r="486" spans="1:11" x14ac:dyDescent="0.35">
      <c r="A486" s="209" t="s">
        <v>1112</v>
      </c>
      <c r="B486" s="209" t="s">
        <v>1115</v>
      </c>
      <c r="C486" t="s">
        <v>166</v>
      </c>
      <c r="D486" t="s">
        <v>886</v>
      </c>
      <c r="E486" t="s">
        <v>615</v>
      </c>
      <c r="F486" t="s">
        <v>897</v>
      </c>
      <c r="G486" s="173" t="s">
        <v>89</v>
      </c>
      <c r="H486" s="173" t="s">
        <v>68</v>
      </c>
      <c r="I486" s="173" t="s">
        <v>26</v>
      </c>
      <c r="J486" s="175" t="str">
        <f t="shared" si="29"/>
        <v>Drawer FrontNarrow Contemporary Combo 4482.4780Shaker 4482/4780Valley Forge Elm    8231-79</v>
      </c>
      <c r="K486" s="174" t="s">
        <v>1413</v>
      </c>
    </row>
    <row r="487" spans="1:11" x14ac:dyDescent="0.35">
      <c r="A487" s="209" t="s">
        <v>1113</v>
      </c>
      <c r="B487" s="209" t="s">
        <v>193</v>
      </c>
      <c r="C487" t="s">
        <v>166</v>
      </c>
      <c r="D487" t="s">
        <v>887</v>
      </c>
      <c r="E487" t="s">
        <v>615</v>
      </c>
      <c r="F487" t="s">
        <v>898</v>
      </c>
      <c r="G487" s="173" t="s">
        <v>89</v>
      </c>
      <c r="H487" s="173" t="s">
        <v>68</v>
      </c>
      <c r="I487" s="173" t="s">
        <v>26</v>
      </c>
      <c r="J487" s="175" t="str">
        <f t="shared" si="29"/>
        <v>Drawer FrontNarrow Contemporary Combo 4482.4780Shaker 4482/4780High Line    7970-28</v>
      </c>
      <c r="K487" s="174" t="s">
        <v>1048</v>
      </c>
    </row>
    <row r="488" spans="1:11" x14ac:dyDescent="0.35">
      <c r="A488" s="209" t="s">
        <v>183</v>
      </c>
      <c r="B488" s="209" t="s">
        <v>193</v>
      </c>
      <c r="C488" t="s">
        <v>166</v>
      </c>
      <c r="D488" t="s">
        <v>888</v>
      </c>
      <c r="E488" t="s">
        <v>615</v>
      </c>
      <c r="F488" t="s">
        <v>899</v>
      </c>
      <c r="G488" s="173" t="s">
        <v>89</v>
      </c>
      <c r="H488" s="173" t="s">
        <v>68</v>
      </c>
      <c r="I488" s="173" t="s">
        <v>26</v>
      </c>
      <c r="J488" s="175" t="str">
        <f t="shared" si="29"/>
        <v>Drawer FrontNarrow Contemporary Combo 4482.4780Shaker 4482/4780Neowalnut    7991-28</v>
      </c>
      <c r="K488" s="174" t="s">
        <v>1049</v>
      </c>
    </row>
    <row r="489" spans="1:11" x14ac:dyDescent="0.35">
      <c r="A489" s="209" t="s">
        <v>1114</v>
      </c>
      <c r="B489" s="209" t="s">
        <v>193</v>
      </c>
      <c r="C489" t="s">
        <v>166</v>
      </c>
      <c r="D489" t="s">
        <v>889</v>
      </c>
      <c r="E489" t="s">
        <v>615</v>
      </c>
      <c r="F489" t="s">
        <v>900</v>
      </c>
      <c r="G489" s="173" t="s">
        <v>89</v>
      </c>
      <c r="H489" s="173" t="s">
        <v>68</v>
      </c>
      <c r="I489" s="173" t="s">
        <v>26</v>
      </c>
      <c r="J489" s="175" t="str">
        <f t="shared" si="29"/>
        <v>Drawer FrontNarrow Contemporary Combo 4482.4780Shaker 4482/4780Portico Teak    8210-28</v>
      </c>
      <c r="K489" s="174" t="s">
        <v>1050</v>
      </c>
    </row>
    <row r="490" spans="1:11" x14ac:dyDescent="0.35">
      <c r="A490" s="209" t="s">
        <v>879</v>
      </c>
      <c r="B490" s="209" t="s">
        <v>198</v>
      </c>
      <c r="C490" t="s">
        <v>166</v>
      </c>
      <c r="D490" t="s">
        <v>890</v>
      </c>
      <c r="E490" t="s">
        <v>615</v>
      </c>
      <c r="F490" t="s">
        <v>901</v>
      </c>
      <c r="G490" s="173" t="s">
        <v>89</v>
      </c>
      <c r="H490" s="173" t="s">
        <v>68</v>
      </c>
      <c r="I490" s="173" t="s">
        <v>26</v>
      </c>
      <c r="J490" s="175" t="str">
        <f t="shared" si="29"/>
        <v>Drawer FrontNarrow Contemporary Combo 4482.4780Shaker 4482/4780Pepperdust    D327-60</v>
      </c>
      <c r="K490" s="174" t="s">
        <v>1051</v>
      </c>
    </row>
    <row r="491" spans="1:11" x14ac:dyDescent="0.35">
      <c r="A491" s="209" t="s">
        <v>230</v>
      </c>
      <c r="B491" s="209" t="s">
        <v>165</v>
      </c>
      <c r="C491" t="s">
        <v>166</v>
      </c>
      <c r="D491" t="s">
        <v>231</v>
      </c>
      <c r="E491" t="s">
        <v>615</v>
      </c>
      <c r="F491" s="173" t="s">
        <v>12</v>
      </c>
      <c r="G491" s="173" t="s">
        <v>89</v>
      </c>
      <c r="H491" s="173" t="s">
        <v>68</v>
      </c>
      <c r="I491" s="173" t="s">
        <v>26</v>
      </c>
      <c r="J491" s="175" t="str">
        <f t="shared" si="29"/>
        <v>Drawer FrontNarrow Contemporary Combo 4482.4780Shaker 4482/4780Columbian Walnut  7943-07</v>
      </c>
      <c r="K491" s="174" t="s">
        <v>651</v>
      </c>
    </row>
    <row r="492" spans="1:11" x14ac:dyDescent="0.35">
      <c r="A492" s="209" t="s">
        <v>234</v>
      </c>
      <c r="B492" s="209" t="s">
        <v>184</v>
      </c>
      <c r="C492" t="s">
        <v>166</v>
      </c>
      <c r="D492" t="s">
        <v>235</v>
      </c>
      <c r="E492" t="s">
        <v>615</v>
      </c>
      <c r="F492" s="173" t="s">
        <v>131</v>
      </c>
      <c r="G492" s="173" t="s">
        <v>89</v>
      </c>
      <c r="H492" s="173" t="s">
        <v>68</v>
      </c>
      <c r="I492" s="173" t="s">
        <v>26</v>
      </c>
      <c r="J492" s="175" t="str">
        <f t="shared" si="29"/>
        <v>Drawer FrontNarrow Contemporary Combo 4482.4780Shaker 4482/4780Florence Walnut    7993-38</v>
      </c>
      <c r="K492" s="174" t="s">
        <v>652</v>
      </c>
    </row>
    <row r="493" spans="1:11" x14ac:dyDescent="0.35">
      <c r="A493" s="209" t="s">
        <v>164</v>
      </c>
      <c r="B493" s="209" t="s">
        <v>165</v>
      </c>
      <c r="C493" t="s">
        <v>166</v>
      </c>
      <c r="D493" t="s">
        <v>167</v>
      </c>
      <c r="E493" t="s">
        <v>1042</v>
      </c>
      <c r="F493" s="173" t="s">
        <v>132</v>
      </c>
      <c r="G493" s="173" t="s">
        <v>92</v>
      </c>
      <c r="H493" s="173" t="s">
        <v>69</v>
      </c>
      <c r="I493" s="173" t="s">
        <v>14</v>
      </c>
      <c r="J493" s="175" t="str">
        <f t="shared" si="24"/>
        <v>DoorWide Narrow Combo 4544.4482Shaker 4544/4482Shaker Cherry       7935-07</v>
      </c>
      <c r="K493" s="174" t="s">
        <v>1412</v>
      </c>
    </row>
    <row r="494" spans="1:11" x14ac:dyDescent="0.35">
      <c r="A494" s="209" t="s">
        <v>170</v>
      </c>
      <c r="B494" s="209" t="s">
        <v>165</v>
      </c>
      <c r="C494" t="s">
        <v>166</v>
      </c>
      <c r="D494" t="s">
        <v>171</v>
      </c>
      <c r="E494" t="s">
        <v>1042</v>
      </c>
      <c r="F494" s="173" t="s">
        <v>133</v>
      </c>
      <c r="G494" s="173" t="s">
        <v>92</v>
      </c>
      <c r="H494" s="173" t="s">
        <v>69</v>
      </c>
      <c r="I494" s="173" t="s">
        <v>14</v>
      </c>
      <c r="J494" s="175" t="str">
        <f t="shared" si="24"/>
        <v>DoorWide Narrow Combo 4544.4482Shaker 4544/4482Cafelle 7933-07</v>
      </c>
      <c r="K494" s="174" t="s">
        <v>1414</v>
      </c>
    </row>
    <row r="495" spans="1:11" x14ac:dyDescent="0.35">
      <c r="A495" s="209" t="s">
        <v>174</v>
      </c>
      <c r="B495" s="209" t="s">
        <v>175</v>
      </c>
      <c r="C495" t="s">
        <v>166</v>
      </c>
      <c r="D495" t="s">
        <v>176</v>
      </c>
      <c r="E495" t="s">
        <v>1042</v>
      </c>
      <c r="F495" s="173" t="s">
        <v>123</v>
      </c>
      <c r="G495" s="173" t="s">
        <v>92</v>
      </c>
      <c r="H495" s="173" t="s">
        <v>69</v>
      </c>
      <c r="I495" s="173" t="s">
        <v>14</v>
      </c>
      <c r="J495" s="175" t="str">
        <f t="shared" si="24"/>
        <v>DoorWide Narrow Combo 4544.4482Shaker 4544/4482White Driftwood      8200-16</v>
      </c>
      <c r="K495" s="174" t="s">
        <v>1415</v>
      </c>
    </row>
    <row r="496" spans="1:11" x14ac:dyDescent="0.35">
      <c r="A496" s="209" t="s">
        <v>179</v>
      </c>
      <c r="B496" s="209" t="s">
        <v>175</v>
      </c>
      <c r="C496" t="s">
        <v>166</v>
      </c>
      <c r="D496" t="s">
        <v>180</v>
      </c>
      <c r="E496" t="s">
        <v>1042</v>
      </c>
      <c r="F496" s="173" t="s">
        <v>124</v>
      </c>
      <c r="G496" s="173" t="s">
        <v>92</v>
      </c>
      <c r="H496" s="173" t="s">
        <v>69</v>
      </c>
      <c r="I496" s="173" t="s">
        <v>14</v>
      </c>
      <c r="J496" s="175" t="str">
        <f t="shared" si="24"/>
        <v>DoorWide Narrow Combo 4544.4482Shaker 4544/4482Weathered Char     8204-16</v>
      </c>
      <c r="K496" s="174" t="s">
        <v>1416</v>
      </c>
    </row>
    <row r="497" spans="1:11" x14ac:dyDescent="0.35">
      <c r="A497" s="209" t="s">
        <v>183</v>
      </c>
      <c r="B497" s="209" t="s">
        <v>184</v>
      </c>
      <c r="C497" t="s">
        <v>166</v>
      </c>
      <c r="D497" t="s">
        <v>185</v>
      </c>
      <c r="E497" t="s">
        <v>1042</v>
      </c>
      <c r="F497" s="173" t="s">
        <v>134</v>
      </c>
      <c r="G497" s="173" t="s">
        <v>92</v>
      </c>
      <c r="H497" s="173" t="s">
        <v>69</v>
      </c>
      <c r="I497" s="173" t="s">
        <v>14</v>
      </c>
      <c r="J497" s="175" t="str">
        <f t="shared" si="24"/>
        <v>DoorWide Narrow Combo 4544.4482Shaker 4544/4482Neowalnut 7991-38</v>
      </c>
      <c r="K497" s="174" t="s">
        <v>1417</v>
      </c>
    </row>
    <row r="498" spans="1:11" x14ac:dyDescent="0.35">
      <c r="A498" s="209" t="s">
        <v>188</v>
      </c>
      <c r="B498" s="209" t="s">
        <v>184</v>
      </c>
      <c r="C498" t="s">
        <v>166</v>
      </c>
      <c r="D498" t="s">
        <v>189</v>
      </c>
      <c r="E498" t="s">
        <v>1042</v>
      </c>
      <c r="F498" s="173" t="s">
        <v>135</v>
      </c>
      <c r="G498" s="173" t="s">
        <v>92</v>
      </c>
      <c r="H498" s="173" t="s">
        <v>69</v>
      </c>
      <c r="I498" s="173" t="s">
        <v>14</v>
      </c>
      <c r="J498" s="175" t="str">
        <f t="shared" si="24"/>
        <v>DoorWide Narrow Combo 4544.4482Shaker 4544/4482Ebony Recon        7997-38</v>
      </c>
      <c r="K498" s="174" t="s">
        <v>1418</v>
      </c>
    </row>
    <row r="499" spans="1:11" x14ac:dyDescent="0.35">
      <c r="A499" s="209" t="s">
        <v>192</v>
      </c>
      <c r="B499" s="209" t="s">
        <v>193</v>
      </c>
      <c r="C499" t="s">
        <v>166</v>
      </c>
      <c r="D499" t="s">
        <v>194</v>
      </c>
      <c r="E499" t="s">
        <v>1042</v>
      </c>
      <c r="F499" s="173" t="s">
        <v>36</v>
      </c>
      <c r="G499" s="173" t="s">
        <v>92</v>
      </c>
      <c r="H499" s="173" t="s">
        <v>69</v>
      </c>
      <c r="I499" s="173" t="s">
        <v>14</v>
      </c>
      <c r="J499" s="175" t="str">
        <f t="shared" si="24"/>
        <v>DoorWide Narrow Combo 4544.4482Shaker 4544/4482Phantom Charcoal  8214-28</v>
      </c>
      <c r="K499" s="174" t="s">
        <v>1419</v>
      </c>
    </row>
    <row r="500" spans="1:11" x14ac:dyDescent="0.35">
      <c r="A500" s="209" t="s">
        <v>197</v>
      </c>
      <c r="B500" s="209" t="s">
        <v>198</v>
      </c>
      <c r="C500" t="s">
        <v>166</v>
      </c>
      <c r="D500" t="s">
        <v>199</v>
      </c>
      <c r="E500" t="s">
        <v>1042</v>
      </c>
      <c r="F500" s="173" t="s">
        <v>11</v>
      </c>
      <c r="G500" s="173" t="s">
        <v>92</v>
      </c>
      <c r="H500" s="173" t="s">
        <v>69</v>
      </c>
      <c r="I500" s="173" t="s">
        <v>14</v>
      </c>
      <c r="J500" s="175" t="str">
        <f t="shared" si="24"/>
        <v>DoorWide Narrow Combo 4544.4482Shaker 4544/4482Linen  D427-60</v>
      </c>
      <c r="K500" s="174" t="s">
        <v>1420</v>
      </c>
    </row>
    <row r="501" spans="1:11" x14ac:dyDescent="0.35">
      <c r="A501" s="209" t="s">
        <v>202</v>
      </c>
      <c r="B501" s="209" t="s">
        <v>193</v>
      </c>
      <c r="C501" t="s">
        <v>166</v>
      </c>
      <c r="D501" t="s">
        <v>203</v>
      </c>
      <c r="E501" t="s">
        <v>1042</v>
      </c>
      <c r="F501" s="173" t="s">
        <v>136</v>
      </c>
      <c r="G501" s="173" t="s">
        <v>92</v>
      </c>
      <c r="H501" s="173" t="s">
        <v>69</v>
      </c>
      <c r="I501" s="173" t="s">
        <v>14</v>
      </c>
      <c r="J501" s="175" t="str">
        <f t="shared" si="24"/>
        <v>DoorWide Narrow Combo 4544.4482Shaker 4544/4482Phantom Pearl      8211-28</v>
      </c>
      <c r="K501" s="174" t="s">
        <v>1421</v>
      </c>
    </row>
    <row r="502" spans="1:11" x14ac:dyDescent="0.35">
      <c r="A502" s="209" t="s">
        <v>206</v>
      </c>
      <c r="B502" s="209" t="s">
        <v>193</v>
      </c>
      <c r="C502" t="s">
        <v>166</v>
      </c>
      <c r="D502" t="s">
        <v>207</v>
      </c>
      <c r="E502" t="s">
        <v>1042</v>
      </c>
      <c r="F502" s="173" t="s">
        <v>125</v>
      </c>
      <c r="G502" s="173" t="s">
        <v>92</v>
      </c>
      <c r="H502" s="173" t="s">
        <v>69</v>
      </c>
      <c r="I502" s="173" t="s">
        <v>14</v>
      </c>
      <c r="J502" s="175" t="str">
        <f t="shared" si="24"/>
        <v>DoorWide Narrow Combo 4544.4482Shaker 4544/4482Veranda Teak        8209-28</v>
      </c>
      <c r="K502" s="174" t="s">
        <v>1422</v>
      </c>
    </row>
    <row r="503" spans="1:11" x14ac:dyDescent="0.35">
      <c r="A503" s="209" t="s">
        <v>210</v>
      </c>
      <c r="B503" s="209" t="s">
        <v>175</v>
      </c>
      <c r="C503" t="s">
        <v>166</v>
      </c>
      <c r="D503" t="s">
        <v>211</v>
      </c>
      <c r="E503" t="s">
        <v>1042</v>
      </c>
      <c r="F503" s="173" t="s">
        <v>126</v>
      </c>
      <c r="G503" s="173" t="s">
        <v>92</v>
      </c>
      <c r="H503" s="173" t="s">
        <v>69</v>
      </c>
      <c r="I503" s="173" t="s">
        <v>14</v>
      </c>
      <c r="J503" s="175" t="str">
        <f t="shared" si="24"/>
        <v>DoorWide Narrow Combo 4544.4482Shaker 4544/4482Branded Oak         8207-16</v>
      </c>
      <c r="K503" s="174" t="s">
        <v>1423</v>
      </c>
    </row>
    <row r="504" spans="1:11" x14ac:dyDescent="0.35">
      <c r="A504" s="209" t="s">
        <v>214</v>
      </c>
      <c r="B504" s="209" t="s">
        <v>175</v>
      </c>
      <c r="C504" t="s">
        <v>166</v>
      </c>
      <c r="D504" t="s">
        <v>215</v>
      </c>
      <c r="E504" t="s">
        <v>1042</v>
      </c>
      <c r="F504" s="173" t="s">
        <v>127</v>
      </c>
      <c r="G504" s="173" t="s">
        <v>92</v>
      </c>
      <c r="H504" s="173" t="s">
        <v>69</v>
      </c>
      <c r="I504" s="173" t="s">
        <v>14</v>
      </c>
      <c r="J504" s="175" t="str">
        <f t="shared" si="24"/>
        <v>DoorWide Narrow Combo 4544.4482Shaker 4544/4482Saddle Oak           8206-16</v>
      </c>
      <c r="K504" s="174" t="s">
        <v>1424</v>
      </c>
    </row>
    <row r="505" spans="1:11" x14ac:dyDescent="0.35">
      <c r="A505" s="209" t="s">
        <v>218</v>
      </c>
      <c r="B505" s="209" t="s">
        <v>193</v>
      </c>
      <c r="C505" t="s">
        <v>166</v>
      </c>
      <c r="D505" t="s">
        <v>219</v>
      </c>
      <c r="E505" t="s">
        <v>1042</v>
      </c>
      <c r="F505" s="173" t="s">
        <v>129</v>
      </c>
      <c r="G505" s="173" t="s">
        <v>92</v>
      </c>
      <c r="H505" s="173" t="s">
        <v>69</v>
      </c>
      <c r="I505" s="173" t="s">
        <v>14</v>
      </c>
      <c r="J505" s="175" t="str">
        <f t="shared" si="24"/>
        <v>DoorWide Narrow Combo 4544.4482Shaker 4544/4482Phantom Ecru       8212-28</v>
      </c>
      <c r="K505" s="174" t="s">
        <v>1425</v>
      </c>
    </row>
    <row r="506" spans="1:11" x14ac:dyDescent="0.35">
      <c r="A506" s="209" t="s">
        <v>222</v>
      </c>
      <c r="B506" s="209" t="s">
        <v>175</v>
      </c>
      <c r="C506" t="s">
        <v>166</v>
      </c>
      <c r="D506" t="s">
        <v>223</v>
      </c>
      <c r="E506" t="s">
        <v>1042</v>
      </c>
      <c r="F506" s="173" t="s">
        <v>128</v>
      </c>
      <c r="G506" s="173" t="s">
        <v>92</v>
      </c>
      <c r="H506" s="173" t="s">
        <v>69</v>
      </c>
      <c r="I506" s="173" t="s">
        <v>14</v>
      </c>
      <c r="J506" s="175" t="str">
        <f t="shared" si="24"/>
        <v>DoorWide Narrow Combo 4544.4482Shaker 4544/4482Fawn Cypress       8208-16</v>
      </c>
      <c r="K506" s="174" t="s">
        <v>1426</v>
      </c>
    </row>
    <row r="507" spans="1:11" x14ac:dyDescent="0.35">
      <c r="A507" s="209" t="s">
        <v>226</v>
      </c>
      <c r="B507" s="209" t="s">
        <v>184</v>
      </c>
      <c r="C507" t="s">
        <v>166</v>
      </c>
      <c r="D507" t="s">
        <v>227</v>
      </c>
      <c r="E507" t="s">
        <v>1042</v>
      </c>
      <c r="F507" s="173" t="s">
        <v>130</v>
      </c>
      <c r="G507" s="173" t="s">
        <v>92</v>
      </c>
      <c r="H507" s="173" t="s">
        <v>69</v>
      </c>
      <c r="I507" s="173" t="s">
        <v>14</v>
      </c>
      <c r="J507" s="175" t="str">
        <f t="shared" si="24"/>
        <v>DoorWide Narrow Combo 4544.4482Shaker 4544/4482River Cherry          7937-38</v>
      </c>
      <c r="K507" s="174" t="s">
        <v>1427</v>
      </c>
    </row>
    <row r="508" spans="1:11" x14ac:dyDescent="0.35">
      <c r="A508" s="209" t="s">
        <v>1183</v>
      </c>
      <c r="B508" s="209" t="s">
        <v>1184</v>
      </c>
      <c r="C508" t="s">
        <v>166</v>
      </c>
      <c r="D508" s="210" t="s">
        <v>1185</v>
      </c>
      <c r="E508" t="s">
        <v>1042</v>
      </c>
      <c r="F508" s="211" t="s">
        <v>1201</v>
      </c>
      <c r="G508" s="173" t="s">
        <v>92</v>
      </c>
      <c r="H508" s="173" t="s">
        <v>69</v>
      </c>
      <c r="I508" s="173" t="s">
        <v>14</v>
      </c>
      <c r="J508" s="175" t="str">
        <f t="shared" ref="J508:J514" si="30">CONCATENATE(I508,G508,H508,F508)</f>
        <v>DoorWide Narrow Combo 4544.4482Shaker 4544/4482Akira                     8233-05</v>
      </c>
      <c r="K508" s="174" t="s">
        <v>1428</v>
      </c>
    </row>
    <row r="509" spans="1:11" x14ac:dyDescent="0.35">
      <c r="A509" s="209" t="s">
        <v>1186</v>
      </c>
      <c r="B509" s="209" t="s">
        <v>1184</v>
      </c>
      <c r="C509" t="s">
        <v>166</v>
      </c>
      <c r="D509" s="210" t="s">
        <v>1187</v>
      </c>
      <c r="E509" t="s">
        <v>1042</v>
      </c>
      <c r="F509" s="211" t="s">
        <v>1200</v>
      </c>
      <c r="G509" s="173" t="s">
        <v>92</v>
      </c>
      <c r="H509" s="173" t="s">
        <v>69</v>
      </c>
      <c r="I509" s="173" t="s">
        <v>14</v>
      </c>
      <c r="J509" s="175" t="str">
        <f t="shared" si="30"/>
        <v>DoorWide Narrow Combo 4544.4482Shaker 4544/4482Belair                    8234-05</v>
      </c>
      <c r="K509" s="174" t="s">
        <v>1429</v>
      </c>
    </row>
    <row r="510" spans="1:11" x14ac:dyDescent="0.35">
      <c r="A510" s="209" t="s">
        <v>1188</v>
      </c>
      <c r="B510" s="209" t="s">
        <v>1184</v>
      </c>
      <c r="C510" t="s">
        <v>166</v>
      </c>
      <c r="D510" s="210" t="s">
        <v>1189</v>
      </c>
      <c r="E510" t="s">
        <v>1042</v>
      </c>
      <c r="F510" s="211" t="s">
        <v>1198</v>
      </c>
      <c r="G510" s="173" t="s">
        <v>92</v>
      </c>
      <c r="H510" s="173" t="s">
        <v>69</v>
      </c>
      <c r="I510" s="173" t="s">
        <v>14</v>
      </c>
      <c r="J510" s="175" t="str">
        <f t="shared" si="30"/>
        <v>DoorWide Narrow Combo 4544.4482Shaker 4544/4482Daintree               8235-05</v>
      </c>
      <c r="K510" s="174" t="s">
        <v>1430</v>
      </c>
    </row>
    <row r="511" spans="1:11" x14ac:dyDescent="0.35">
      <c r="A511" s="209" t="s">
        <v>1190</v>
      </c>
      <c r="B511" s="209" t="s">
        <v>1184</v>
      </c>
      <c r="C511" t="s">
        <v>166</v>
      </c>
      <c r="D511" s="210" t="s">
        <v>1191</v>
      </c>
      <c r="E511" t="s">
        <v>1042</v>
      </c>
      <c r="F511" s="211" t="s">
        <v>1199</v>
      </c>
      <c r="G511" s="173" t="s">
        <v>92</v>
      </c>
      <c r="H511" s="173" t="s">
        <v>69</v>
      </c>
      <c r="I511" s="173" t="s">
        <v>14</v>
      </c>
      <c r="J511" s="175" t="str">
        <f t="shared" si="30"/>
        <v>DoorWide Narrow Combo 4544.4482Shaker 4544/4482Monteverdi          8236-05</v>
      </c>
      <c r="K511" s="174" t="s">
        <v>1431</v>
      </c>
    </row>
    <row r="512" spans="1:11" x14ac:dyDescent="0.35">
      <c r="A512" s="209" t="s">
        <v>1192</v>
      </c>
      <c r="B512" s="209" t="s">
        <v>1184</v>
      </c>
      <c r="C512" t="s">
        <v>166</v>
      </c>
      <c r="D512" s="210" t="s">
        <v>1193</v>
      </c>
      <c r="E512" t="s">
        <v>1042</v>
      </c>
      <c r="F512" s="211" t="s">
        <v>1202</v>
      </c>
      <c r="G512" s="173" t="s">
        <v>92</v>
      </c>
      <c r="H512" s="173" t="s">
        <v>69</v>
      </c>
      <c r="I512" s="173" t="s">
        <v>14</v>
      </c>
      <c r="J512" s="175" t="str">
        <f t="shared" si="30"/>
        <v>DoorWide Narrow Combo 4544.4482Shaker 4544/4482Great Bear           8237-05</v>
      </c>
      <c r="K512" s="174" t="s">
        <v>1432</v>
      </c>
    </row>
    <row r="513" spans="1:11" x14ac:dyDescent="0.35">
      <c r="A513" s="209" t="s">
        <v>1194</v>
      </c>
      <c r="B513" s="209" t="s">
        <v>1184</v>
      </c>
      <c r="C513" t="s">
        <v>166</v>
      </c>
      <c r="D513" s="210" t="s">
        <v>1195</v>
      </c>
      <c r="E513" t="s">
        <v>1042</v>
      </c>
      <c r="F513" s="211" t="s">
        <v>1203</v>
      </c>
      <c r="G513" s="173" t="s">
        <v>92</v>
      </c>
      <c r="H513" s="173" t="s">
        <v>69</v>
      </c>
      <c r="I513" s="173" t="s">
        <v>14</v>
      </c>
      <c r="J513" s="175" t="str">
        <f t="shared" si="30"/>
        <v>DoorWide Narrow Combo 4544.4482Shaker 4544/4482Fairchild               8238-05</v>
      </c>
      <c r="K513" s="174" t="s">
        <v>1433</v>
      </c>
    </row>
    <row r="514" spans="1:11" x14ac:dyDescent="0.35">
      <c r="A514" s="209" t="s">
        <v>1196</v>
      </c>
      <c r="B514" s="209" t="s">
        <v>198</v>
      </c>
      <c r="C514" t="s">
        <v>166</v>
      </c>
      <c r="D514" s="210" t="s">
        <v>1197</v>
      </c>
      <c r="E514" t="s">
        <v>1042</v>
      </c>
      <c r="F514" s="211" t="s">
        <v>1204</v>
      </c>
      <c r="G514" s="173" t="s">
        <v>92</v>
      </c>
      <c r="H514" s="173" t="s">
        <v>69</v>
      </c>
      <c r="I514" s="173" t="s">
        <v>14</v>
      </c>
      <c r="J514" s="175" t="str">
        <f t="shared" si="30"/>
        <v>DoorWide Narrow Combo 4544.4482Shaker 4544/4482Indigo                   D379-60</v>
      </c>
      <c r="K514" s="174" t="s">
        <v>1434</v>
      </c>
    </row>
    <row r="515" spans="1:11" x14ac:dyDescent="0.35">
      <c r="A515" s="209" t="s">
        <v>1106</v>
      </c>
      <c r="B515" s="209" t="s">
        <v>1115</v>
      </c>
      <c r="C515" t="s">
        <v>166</v>
      </c>
      <c r="D515" t="s">
        <v>880</v>
      </c>
      <c r="E515" t="s">
        <v>1042</v>
      </c>
      <c r="F515" t="s">
        <v>891</v>
      </c>
      <c r="G515" s="173" t="s">
        <v>92</v>
      </c>
      <c r="H515" s="173" t="s">
        <v>69</v>
      </c>
      <c r="I515" s="173" t="s">
        <v>14</v>
      </c>
      <c r="J515" s="175" t="str">
        <f t="shared" ref="J515:J525" si="31">CONCATENATE(I515,G515,H515,F515)</f>
        <v>DoorWide Narrow Combo 4544.4482Shaker 4544/4482White Cypress    7976-79</v>
      </c>
      <c r="K515" s="174" t="s">
        <v>1435</v>
      </c>
    </row>
    <row r="516" spans="1:11" x14ac:dyDescent="0.35">
      <c r="A516" s="209" t="s">
        <v>1107</v>
      </c>
      <c r="B516" s="209" t="s">
        <v>1115</v>
      </c>
      <c r="C516" t="s">
        <v>166</v>
      </c>
      <c r="D516" t="s">
        <v>881</v>
      </c>
      <c r="E516" t="s">
        <v>1042</v>
      </c>
      <c r="F516" t="s">
        <v>892</v>
      </c>
      <c r="G516" s="173" t="s">
        <v>92</v>
      </c>
      <c r="H516" s="173" t="s">
        <v>69</v>
      </c>
      <c r="I516" s="173" t="s">
        <v>14</v>
      </c>
      <c r="J516" s="175" t="str">
        <f t="shared" si="31"/>
        <v>DoorWide Narrow Combo 4544.4482Shaker 4544/4482Randolph Forest    8225-79</v>
      </c>
      <c r="K516" s="174" t="s">
        <v>1436</v>
      </c>
    </row>
    <row r="517" spans="1:11" x14ac:dyDescent="0.35">
      <c r="A517" s="209" t="s">
        <v>1108</v>
      </c>
      <c r="B517" s="209" t="s">
        <v>1115</v>
      </c>
      <c r="C517" t="s">
        <v>166</v>
      </c>
      <c r="D517" t="s">
        <v>882</v>
      </c>
      <c r="E517" t="s">
        <v>1042</v>
      </c>
      <c r="F517" t="s">
        <v>893</v>
      </c>
      <c r="G517" s="173" t="s">
        <v>92</v>
      </c>
      <c r="H517" s="173" t="s">
        <v>69</v>
      </c>
      <c r="I517" s="173" t="s">
        <v>14</v>
      </c>
      <c r="J517" s="175" t="str">
        <f t="shared" si="31"/>
        <v>DoorWide Narrow Combo 4544.4482Shaker 4544/4482Dering Forest    8226-79</v>
      </c>
      <c r="K517" s="174" t="s">
        <v>1437</v>
      </c>
    </row>
    <row r="518" spans="1:11" x14ac:dyDescent="0.35">
      <c r="A518" s="209" t="s">
        <v>1109</v>
      </c>
      <c r="B518" s="209" t="s">
        <v>1115</v>
      </c>
      <c r="C518" t="s">
        <v>166</v>
      </c>
      <c r="D518" t="s">
        <v>883</v>
      </c>
      <c r="E518" t="s">
        <v>1042</v>
      </c>
      <c r="F518" t="s">
        <v>894</v>
      </c>
      <c r="G518" s="173" t="s">
        <v>92</v>
      </c>
      <c r="H518" s="173" t="s">
        <v>69</v>
      </c>
      <c r="I518" s="173" t="s">
        <v>14</v>
      </c>
      <c r="J518" s="175" t="str">
        <f t="shared" si="31"/>
        <v>DoorWide Narrow Combo 4544.4482Shaker 4544/4482White River Forest    8227-79</v>
      </c>
      <c r="K518" s="174" t="s">
        <v>1438</v>
      </c>
    </row>
    <row r="519" spans="1:11" x14ac:dyDescent="0.35">
      <c r="A519" s="209" t="s">
        <v>1110</v>
      </c>
      <c r="B519" s="209" t="s">
        <v>1115</v>
      </c>
      <c r="C519" t="s">
        <v>166</v>
      </c>
      <c r="D519" t="s">
        <v>884</v>
      </c>
      <c r="E519" t="s">
        <v>1042</v>
      </c>
      <c r="F519" t="s">
        <v>895</v>
      </c>
      <c r="G519" s="173" t="s">
        <v>92</v>
      </c>
      <c r="H519" s="173" t="s">
        <v>69</v>
      </c>
      <c r="I519" s="173" t="s">
        <v>14</v>
      </c>
      <c r="J519" s="175" t="str">
        <f t="shared" si="31"/>
        <v>DoorWide Narrow Combo 4544.4482Shaker 4544/4482Avondale Ash    8228-79</v>
      </c>
      <c r="K519" s="174" t="s">
        <v>1439</v>
      </c>
    </row>
    <row r="520" spans="1:11" x14ac:dyDescent="0.35">
      <c r="A520" s="209" t="s">
        <v>1111</v>
      </c>
      <c r="B520" s="209" t="s">
        <v>1115</v>
      </c>
      <c r="C520" t="s">
        <v>166</v>
      </c>
      <c r="D520" t="s">
        <v>885</v>
      </c>
      <c r="E520" t="s">
        <v>1042</v>
      </c>
      <c r="F520" t="s">
        <v>896</v>
      </c>
      <c r="G520" s="173" t="s">
        <v>92</v>
      </c>
      <c r="H520" s="173" t="s">
        <v>69</v>
      </c>
      <c r="I520" s="173" t="s">
        <v>14</v>
      </c>
      <c r="J520" s="175" t="str">
        <f t="shared" si="31"/>
        <v>DoorWide Narrow Combo 4544.4482Shaker 4544/4482Friston Ash    8229-79</v>
      </c>
      <c r="K520" s="174" t="s">
        <v>1440</v>
      </c>
    </row>
    <row r="521" spans="1:11" x14ac:dyDescent="0.35">
      <c r="A521" s="209" t="s">
        <v>1112</v>
      </c>
      <c r="B521" s="209" t="s">
        <v>1115</v>
      </c>
      <c r="C521" t="s">
        <v>166</v>
      </c>
      <c r="D521" t="s">
        <v>886</v>
      </c>
      <c r="E521" t="s">
        <v>1042</v>
      </c>
      <c r="F521" t="s">
        <v>897</v>
      </c>
      <c r="G521" s="173" t="s">
        <v>92</v>
      </c>
      <c r="H521" s="173" t="s">
        <v>69</v>
      </c>
      <c r="I521" s="173" t="s">
        <v>14</v>
      </c>
      <c r="J521" s="175" t="str">
        <f t="shared" si="31"/>
        <v>DoorWide Narrow Combo 4544.4482Shaker 4544/4482Valley Forge Elm    8231-79</v>
      </c>
      <c r="K521" s="174" t="s">
        <v>1441</v>
      </c>
    </row>
    <row r="522" spans="1:11" x14ac:dyDescent="0.35">
      <c r="A522" s="209" t="s">
        <v>1113</v>
      </c>
      <c r="B522" s="209" t="s">
        <v>193</v>
      </c>
      <c r="C522" t="s">
        <v>166</v>
      </c>
      <c r="D522" t="s">
        <v>887</v>
      </c>
      <c r="E522" t="s">
        <v>1042</v>
      </c>
      <c r="F522" t="s">
        <v>898</v>
      </c>
      <c r="G522" s="173" t="s">
        <v>92</v>
      </c>
      <c r="H522" s="173" t="s">
        <v>69</v>
      </c>
      <c r="I522" s="173" t="s">
        <v>14</v>
      </c>
      <c r="J522" s="175" t="str">
        <f t="shared" si="31"/>
        <v>DoorWide Narrow Combo 4544.4482Shaker 4544/4482High Line    7970-28</v>
      </c>
      <c r="K522" s="174" t="s">
        <v>1442</v>
      </c>
    </row>
    <row r="523" spans="1:11" x14ac:dyDescent="0.35">
      <c r="A523" s="209" t="s">
        <v>183</v>
      </c>
      <c r="B523" s="209" t="s">
        <v>193</v>
      </c>
      <c r="C523" t="s">
        <v>166</v>
      </c>
      <c r="D523" t="s">
        <v>888</v>
      </c>
      <c r="E523" t="s">
        <v>1042</v>
      </c>
      <c r="F523" t="s">
        <v>899</v>
      </c>
      <c r="G523" s="173" t="s">
        <v>92</v>
      </c>
      <c r="H523" s="173" t="s">
        <v>69</v>
      </c>
      <c r="I523" s="173" t="s">
        <v>14</v>
      </c>
      <c r="J523" s="175" t="str">
        <f t="shared" si="31"/>
        <v>DoorWide Narrow Combo 4544.4482Shaker 4544/4482Neowalnut    7991-28</v>
      </c>
      <c r="K523" s="174" t="s">
        <v>1443</v>
      </c>
    </row>
    <row r="524" spans="1:11" x14ac:dyDescent="0.35">
      <c r="A524" s="209" t="s">
        <v>1114</v>
      </c>
      <c r="B524" s="209" t="s">
        <v>193</v>
      </c>
      <c r="C524" t="s">
        <v>166</v>
      </c>
      <c r="D524" t="s">
        <v>889</v>
      </c>
      <c r="E524" t="s">
        <v>1042</v>
      </c>
      <c r="F524" t="s">
        <v>900</v>
      </c>
      <c r="G524" s="173" t="s">
        <v>92</v>
      </c>
      <c r="H524" s="173" t="s">
        <v>69</v>
      </c>
      <c r="I524" s="173" t="s">
        <v>14</v>
      </c>
      <c r="J524" s="175" t="str">
        <f t="shared" si="31"/>
        <v>DoorWide Narrow Combo 4544.4482Shaker 4544/4482Portico Teak    8210-28</v>
      </c>
      <c r="K524" s="174" t="s">
        <v>1444</v>
      </c>
    </row>
    <row r="525" spans="1:11" x14ac:dyDescent="0.35">
      <c r="A525" s="209" t="s">
        <v>879</v>
      </c>
      <c r="B525" s="209" t="s">
        <v>198</v>
      </c>
      <c r="C525" t="s">
        <v>166</v>
      </c>
      <c r="D525" t="s">
        <v>890</v>
      </c>
      <c r="E525" t="s">
        <v>1042</v>
      </c>
      <c r="F525" t="s">
        <v>901</v>
      </c>
      <c r="G525" s="173" t="s">
        <v>92</v>
      </c>
      <c r="H525" s="173" t="s">
        <v>69</v>
      </c>
      <c r="I525" s="173" t="s">
        <v>14</v>
      </c>
      <c r="J525" s="175" t="str">
        <f t="shared" si="31"/>
        <v>DoorWide Narrow Combo 4544.4482Shaker 4544/4482Pepperdust    D327-60</v>
      </c>
      <c r="K525" s="174" t="s">
        <v>1445</v>
      </c>
    </row>
    <row r="526" spans="1:11" x14ac:dyDescent="0.35">
      <c r="A526" s="209" t="s">
        <v>230</v>
      </c>
      <c r="B526" s="209" t="s">
        <v>165</v>
      </c>
      <c r="C526" t="s">
        <v>166</v>
      </c>
      <c r="D526" t="s">
        <v>231</v>
      </c>
      <c r="E526" t="s">
        <v>1042</v>
      </c>
      <c r="F526" s="173" t="s">
        <v>12</v>
      </c>
      <c r="G526" s="173" t="s">
        <v>92</v>
      </c>
      <c r="H526" s="173" t="s">
        <v>69</v>
      </c>
      <c r="I526" s="173" t="s">
        <v>14</v>
      </c>
      <c r="J526" s="175" t="str">
        <f t="shared" si="24"/>
        <v>DoorWide Narrow Combo 4544.4482Shaker 4544/4482Columbian Walnut  7943-07</v>
      </c>
      <c r="K526" s="174" t="s">
        <v>1446</v>
      </c>
    </row>
    <row r="527" spans="1:11" x14ac:dyDescent="0.35">
      <c r="A527" s="209" t="s">
        <v>234</v>
      </c>
      <c r="B527" s="209" t="s">
        <v>184</v>
      </c>
      <c r="C527" t="s">
        <v>166</v>
      </c>
      <c r="D527" t="s">
        <v>235</v>
      </c>
      <c r="E527" t="s">
        <v>1042</v>
      </c>
      <c r="F527" s="173" t="s">
        <v>131</v>
      </c>
      <c r="G527" s="173" t="s">
        <v>92</v>
      </c>
      <c r="H527" s="173" t="s">
        <v>69</v>
      </c>
      <c r="I527" s="173" t="s">
        <v>14</v>
      </c>
      <c r="J527" s="175" t="str">
        <f t="shared" si="24"/>
        <v>DoorWide Narrow Combo 4544.4482Shaker 4544/4482Florence Walnut    7993-38</v>
      </c>
      <c r="K527" s="174" t="s">
        <v>1447</v>
      </c>
    </row>
    <row r="528" spans="1:11" x14ac:dyDescent="0.35">
      <c r="A528" s="209" t="s">
        <v>164</v>
      </c>
      <c r="B528" s="209" t="s">
        <v>165</v>
      </c>
      <c r="C528" t="s">
        <v>166</v>
      </c>
      <c r="D528" t="s">
        <v>167</v>
      </c>
      <c r="E528" t="s">
        <v>1042</v>
      </c>
      <c r="F528" s="173" t="s">
        <v>132</v>
      </c>
      <c r="G528" s="173" t="s">
        <v>92</v>
      </c>
      <c r="H528" s="173" t="s">
        <v>69</v>
      </c>
      <c r="I528" s="173" t="s">
        <v>26</v>
      </c>
      <c r="J528" s="175" t="str">
        <f t="shared" si="24"/>
        <v>Drawer FrontWide Narrow Combo 4544.4482Shaker 4544/4482Shaker Cherry       7935-07</v>
      </c>
      <c r="K528" s="174" t="s">
        <v>1377</v>
      </c>
    </row>
    <row r="529" spans="1:11" x14ac:dyDescent="0.35">
      <c r="A529" s="209" t="s">
        <v>170</v>
      </c>
      <c r="B529" s="209" t="s">
        <v>165</v>
      </c>
      <c r="C529" t="s">
        <v>166</v>
      </c>
      <c r="D529" t="s">
        <v>171</v>
      </c>
      <c r="E529" t="s">
        <v>1042</v>
      </c>
      <c r="F529" s="173" t="s">
        <v>133</v>
      </c>
      <c r="G529" s="173" t="s">
        <v>92</v>
      </c>
      <c r="H529" s="173" t="s">
        <v>69</v>
      </c>
      <c r="I529" s="173" t="s">
        <v>26</v>
      </c>
      <c r="J529" s="175" t="str">
        <f t="shared" ref="J529:J562" si="32">CONCATENATE(I529,G529,H529,F529)</f>
        <v>Drawer FrontWide Narrow Combo 4544.4482Shaker 4544/4482Cafelle 7933-07</v>
      </c>
      <c r="K529" s="174" t="s">
        <v>1378</v>
      </c>
    </row>
    <row r="530" spans="1:11" x14ac:dyDescent="0.35">
      <c r="A530" s="209" t="s">
        <v>174</v>
      </c>
      <c r="B530" s="209" t="s">
        <v>175</v>
      </c>
      <c r="C530" t="s">
        <v>166</v>
      </c>
      <c r="D530" t="s">
        <v>176</v>
      </c>
      <c r="E530" t="s">
        <v>1042</v>
      </c>
      <c r="F530" s="173" t="s">
        <v>123</v>
      </c>
      <c r="G530" s="173" t="s">
        <v>92</v>
      </c>
      <c r="H530" s="173" t="s">
        <v>69</v>
      </c>
      <c r="I530" s="173" t="s">
        <v>26</v>
      </c>
      <c r="J530" s="175" t="str">
        <f t="shared" si="32"/>
        <v>Drawer FrontWide Narrow Combo 4544.4482Shaker 4544/4482White Driftwood      8200-16</v>
      </c>
      <c r="K530" s="174" t="s">
        <v>1379</v>
      </c>
    </row>
    <row r="531" spans="1:11" x14ac:dyDescent="0.35">
      <c r="A531" s="209" t="s">
        <v>179</v>
      </c>
      <c r="B531" s="209" t="s">
        <v>175</v>
      </c>
      <c r="C531" t="s">
        <v>166</v>
      </c>
      <c r="D531" t="s">
        <v>180</v>
      </c>
      <c r="E531" t="s">
        <v>1042</v>
      </c>
      <c r="F531" s="173" t="s">
        <v>124</v>
      </c>
      <c r="G531" s="173" t="s">
        <v>92</v>
      </c>
      <c r="H531" s="173" t="s">
        <v>69</v>
      </c>
      <c r="I531" s="173" t="s">
        <v>26</v>
      </c>
      <c r="J531" s="175" t="str">
        <f t="shared" si="32"/>
        <v>Drawer FrontWide Narrow Combo 4544.4482Shaker 4544/4482Weathered Char     8204-16</v>
      </c>
      <c r="K531" s="174" t="s">
        <v>1380</v>
      </c>
    </row>
    <row r="532" spans="1:11" x14ac:dyDescent="0.35">
      <c r="A532" s="209" t="s">
        <v>183</v>
      </c>
      <c r="B532" s="209" t="s">
        <v>184</v>
      </c>
      <c r="C532" t="s">
        <v>166</v>
      </c>
      <c r="D532" t="s">
        <v>185</v>
      </c>
      <c r="E532" t="s">
        <v>1042</v>
      </c>
      <c r="F532" s="173" t="s">
        <v>134</v>
      </c>
      <c r="G532" s="173" t="s">
        <v>92</v>
      </c>
      <c r="H532" s="173" t="s">
        <v>69</v>
      </c>
      <c r="I532" s="173" t="s">
        <v>26</v>
      </c>
      <c r="J532" s="175" t="str">
        <f t="shared" si="32"/>
        <v>Drawer FrontWide Narrow Combo 4544.4482Shaker 4544/4482Neowalnut 7991-38</v>
      </c>
      <c r="K532" s="174" t="s">
        <v>1381</v>
      </c>
    </row>
    <row r="533" spans="1:11" x14ac:dyDescent="0.35">
      <c r="A533" s="209" t="s">
        <v>188</v>
      </c>
      <c r="B533" s="209" t="s">
        <v>184</v>
      </c>
      <c r="C533" t="s">
        <v>166</v>
      </c>
      <c r="D533" t="s">
        <v>189</v>
      </c>
      <c r="E533" t="s">
        <v>1042</v>
      </c>
      <c r="F533" s="173" t="s">
        <v>135</v>
      </c>
      <c r="G533" s="173" t="s">
        <v>92</v>
      </c>
      <c r="H533" s="173" t="s">
        <v>69</v>
      </c>
      <c r="I533" s="173" t="s">
        <v>26</v>
      </c>
      <c r="J533" s="175" t="str">
        <f t="shared" si="32"/>
        <v>Drawer FrontWide Narrow Combo 4544.4482Shaker 4544/4482Ebony Recon        7997-38</v>
      </c>
      <c r="K533" s="174" t="s">
        <v>1382</v>
      </c>
    </row>
    <row r="534" spans="1:11" x14ac:dyDescent="0.35">
      <c r="A534" s="209" t="s">
        <v>192</v>
      </c>
      <c r="B534" s="209" t="s">
        <v>193</v>
      </c>
      <c r="C534" t="s">
        <v>166</v>
      </c>
      <c r="D534" t="s">
        <v>194</v>
      </c>
      <c r="E534" t="s">
        <v>1042</v>
      </c>
      <c r="F534" s="173" t="s">
        <v>36</v>
      </c>
      <c r="G534" s="173" t="s">
        <v>92</v>
      </c>
      <c r="H534" s="173" t="s">
        <v>69</v>
      </c>
      <c r="I534" s="173" t="s">
        <v>26</v>
      </c>
      <c r="J534" s="175" t="str">
        <f t="shared" si="32"/>
        <v>Drawer FrontWide Narrow Combo 4544.4482Shaker 4544/4482Phantom Charcoal  8214-28</v>
      </c>
      <c r="K534" s="174" t="s">
        <v>1383</v>
      </c>
    </row>
    <row r="535" spans="1:11" x14ac:dyDescent="0.35">
      <c r="A535" s="209" t="s">
        <v>197</v>
      </c>
      <c r="B535" s="209" t="s">
        <v>198</v>
      </c>
      <c r="C535" t="s">
        <v>166</v>
      </c>
      <c r="D535" t="s">
        <v>199</v>
      </c>
      <c r="E535" t="s">
        <v>1042</v>
      </c>
      <c r="F535" s="173" t="s">
        <v>11</v>
      </c>
      <c r="G535" s="173" t="s">
        <v>92</v>
      </c>
      <c r="H535" s="173" t="s">
        <v>69</v>
      </c>
      <c r="I535" s="173" t="s">
        <v>26</v>
      </c>
      <c r="J535" s="175" t="str">
        <f t="shared" si="32"/>
        <v>Drawer FrontWide Narrow Combo 4544.4482Shaker 4544/4482Linen  D427-60</v>
      </c>
      <c r="K535" s="174" t="s">
        <v>1384</v>
      </c>
    </row>
    <row r="536" spans="1:11" x14ac:dyDescent="0.35">
      <c r="A536" s="209" t="s">
        <v>202</v>
      </c>
      <c r="B536" s="209" t="s">
        <v>193</v>
      </c>
      <c r="C536" t="s">
        <v>166</v>
      </c>
      <c r="D536" t="s">
        <v>203</v>
      </c>
      <c r="E536" t="s">
        <v>1042</v>
      </c>
      <c r="F536" s="173" t="s">
        <v>136</v>
      </c>
      <c r="G536" s="173" t="s">
        <v>92</v>
      </c>
      <c r="H536" s="173" t="s">
        <v>69</v>
      </c>
      <c r="I536" s="173" t="s">
        <v>26</v>
      </c>
      <c r="J536" s="175" t="str">
        <f t="shared" si="32"/>
        <v>Drawer FrontWide Narrow Combo 4544.4482Shaker 4544/4482Phantom Pearl      8211-28</v>
      </c>
      <c r="K536" s="174" t="s">
        <v>1385</v>
      </c>
    </row>
    <row r="537" spans="1:11" x14ac:dyDescent="0.35">
      <c r="A537" s="209" t="s">
        <v>206</v>
      </c>
      <c r="B537" s="209" t="s">
        <v>193</v>
      </c>
      <c r="C537" t="s">
        <v>166</v>
      </c>
      <c r="D537" t="s">
        <v>207</v>
      </c>
      <c r="E537" t="s">
        <v>1042</v>
      </c>
      <c r="F537" s="173" t="s">
        <v>125</v>
      </c>
      <c r="G537" s="173" t="s">
        <v>92</v>
      </c>
      <c r="H537" s="173" t="s">
        <v>69</v>
      </c>
      <c r="I537" s="173" t="s">
        <v>26</v>
      </c>
      <c r="J537" s="175" t="str">
        <f t="shared" si="32"/>
        <v>Drawer FrontWide Narrow Combo 4544.4482Shaker 4544/4482Veranda Teak        8209-28</v>
      </c>
      <c r="K537" s="174" t="s">
        <v>1386</v>
      </c>
    </row>
    <row r="538" spans="1:11" x14ac:dyDescent="0.35">
      <c r="A538" s="209" t="s">
        <v>210</v>
      </c>
      <c r="B538" s="209" t="s">
        <v>175</v>
      </c>
      <c r="C538" t="s">
        <v>166</v>
      </c>
      <c r="D538" t="s">
        <v>211</v>
      </c>
      <c r="E538" t="s">
        <v>1042</v>
      </c>
      <c r="F538" s="173" t="s">
        <v>126</v>
      </c>
      <c r="G538" s="173" t="s">
        <v>92</v>
      </c>
      <c r="H538" s="173" t="s">
        <v>69</v>
      </c>
      <c r="I538" s="173" t="s">
        <v>26</v>
      </c>
      <c r="J538" s="175" t="str">
        <f t="shared" si="32"/>
        <v>Drawer FrontWide Narrow Combo 4544.4482Shaker 4544/4482Branded Oak         8207-16</v>
      </c>
      <c r="K538" s="174" t="s">
        <v>1387</v>
      </c>
    </row>
    <row r="539" spans="1:11" x14ac:dyDescent="0.35">
      <c r="A539" s="209" t="s">
        <v>214</v>
      </c>
      <c r="B539" s="209" t="s">
        <v>175</v>
      </c>
      <c r="C539" t="s">
        <v>166</v>
      </c>
      <c r="D539" t="s">
        <v>215</v>
      </c>
      <c r="E539" t="s">
        <v>1042</v>
      </c>
      <c r="F539" s="173" t="s">
        <v>127</v>
      </c>
      <c r="G539" s="173" t="s">
        <v>92</v>
      </c>
      <c r="H539" s="173" t="s">
        <v>69</v>
      </c>
      <c r="I539" s="173" t="s">
        <v>26</v>
      </c>
      <c r="J539" s="175" t="str">
        <f t="shared" si="32"/>
        <v>Drawer FrontWide Narrow Combo 4544.4482Shaker 4544/4482Saddle Oak           8206-16</v>
      </c>
      <c r="K539" s="174" t="s">
        <v>1388</v>
      </c>
    </row>
    <row r="540" spans="1:11" x14ac:dyDescent="0.35">
      <c r="A540" s="209" t="s">
        <v>218</v>
      </c>
      <c r="B540" s="209" t="s">
        <v>193</v>
      </c>
      <c r="C540" t="s">
        <v>166</v>
      </c>
      <c r="D540" t="s">
        <v>219</v>
      </c>
      <c r="E540" t="s">
        <v>1042</v>
      </c>
      <c r="F540" s="173" t="s">
        <v>129</v>
      </c>
      <c r="G540" s="173" t="s">
        <v>92</v>
      </c>
      <c r="H540" s="173" t="s">
        <v>69</v>
      </c>
      <c r="I540" s="173" t="s">
        <v>26</v>
      </c>
      <c r="J540" s="175" t="str">
        <f t="shared" si="32"/>
        <v>Drawer FrontWide Narrow Combo 4544.4482Shaker 4544/4482Phantom Ecru       8212-28</v>
      </c>
      <c r="K540" s="174" t="s">
        <v>1389</v>
      </c>
    </row>
    <row r="541" spans="1:11" x14ac:dyDescent="0.35">
      <c r="A541" s="209" t="s">
        <v>222</v>
      </c>
      <c r="B541" s="209" t="s">
        <v>175</v>
      </c>
      <c r="C541" t="s">
        <v>166</v>
      </c>
      <c r="D541" t="s">
        <v>223</v>
      </c>
      <c r="E541" t="s">
        <v>1042</v>
      </c>
      <c r="F541" s="173" t="s">
        <v>128</v>
      </c>
      <c r="G541" s="173" t="s">
        <v>92</v>
      </c>
      <c r="H541" s="173" t="s">
        <v>69</v>
      </c>
      <c r="I541" s="173" t="s">
        <v>26</v>
      </c>
      <c r="J541" s="175" t="str">
        <f t="shared" si="32"/>
        <v>Drawer FrontWide Narrow Combo 4544.4482Shaker 4544/4482Fawn Cypress       8208-16</v>
      </c>
      <c r="K541" s="174" t="s">
        <v>1390</v>
      </c>
    </row>
    <row r="542" spans="1:11" x14ac:dyDescent="0.35">
      <c r="A542" s="209" t="s">
        <v>226</v>
      </c>
      <c r="B542" s="209" t="s">
        <v>184</v>
      </c>
      <c r="C542" t="s">
        <v>166</v>
      </c>
      <c r="D542" t="s">
        <v>227</v>
      </c>
      <c r="E542" t="s">
        <v>1042</v>
      </c>
      <c r="F542" s="173" t="s">
        <v>130</v>
      </c>
      <c r="G542" s="173" t="s">
        <v>92</v>
      </c>
      <c r="H542" s="173" t="s">
        <v>69</v>
      </c>
      <c r="I542" s="173" t="s">
        <v>26</v>
      </c>
      <c r="J542" s="175" t="str">
        <f t="shared" si="32"/>
        <v>Drawer FrontWide Narrow Combo 4544.4482Shaker 4544/4482River Cherry          7937-38</v>
      </c>
      <c r="K542" s="174" t="s">
        <v>1391</v>
      </c>
    </row>
    <row r="543" spans="1:11" x14ac:dyDescent="0.35">
      <c r="A543" s="209" t="s">
        <v>1183</v>
      </c>
      <c r="B543" s="209" t="s">
        <v>1184</v>
      </c>
      <c r="C543" t="s">
        <v>166</v>
      </c>
      <c r="D543" s="210" t="s">
        <v>1185</v>
      </c>
      <c r="E543" t="s">
        <v>1042</v>
      </c>
      <c r="F543" s="211" t="s">
        <v>1201</v>
      </c>
      <c r="G543" s="173" t="s">
        <v>92</v>
      </c>
      <c r="H543" s="173" t="s">
        <v>69</v>
      </c>
      <c r="I543" s="173" t="s">
        <v>26</v>
      </c>
      <c r="J543" s="175" t="str">
        <f t="shared" si="32"/>
        <v>Drawer FrontWide Narrow Combo 4544.4482Shaker 4544/4482Akira                     8233-05</v>
      </c>
      <c r="K543" s="174" t="s">
        <v>1392</v>
      </c>
    </row>
    <row r="544" spans="1:11" x14ac:dyDescent="0.35">
      <c r="A544" s="209" t="s">
        <v>1186</v>
      </c>
      <c r="B544" s="209" t="s">
        <v>1184</v>
      </c>
      <c r="C544" t="s">
        <v>166</v>
      </c>
      <c r="D544" s="210" t="s">
        <v>1187</v>
      </c>
      <c r="E544" t="s">
        <v>1042</v>
      </c>
      <c r="F544" s="211" t="s">
        <v>1200</v>
      </c>
      <c r="G544" s="173" t="s">
        <v>92</v>
      </c>
      <c r="H544" s="173" t="s">
        <v>69</v>
      </c>
      <c r="I544" s="173" t="s">
        <v>26</v>
      </c>
      <c r="J544" s="175" t="str">
        <f t="shared" si="32"/>
        <v>Drawer FrontWide Narrow Combo 4544.4482Shaker 4544/4482Belair                    8234-05</v>
      </c>
      <c r="K544" s="174" t="s">
        <v>1393</v>
      </c>
    </row>
    <row r="545" spans="1:11" x14ac:dyDescent="0.35">
      <c r="A545" s="209" t="s">
        <v>1188</v>
      </c>
      <c r="B545" s="209" t="s">
        <v>1184</v>
      </c>
      <c r="C545" t="s">
        <v>166</v>
      </c>
      <c r="D545" s="210" t="s">
        <v>1189</v>
      </c>
      <c r="E545" t="s">
        <v>1042</v>
      </c>
      <c r="F545" s="211" t="s">
        <v>1198</v>
      </c>
      <c r="G545" s="173" t="s">
        <v>92</v>
      </c>
      <c r="H545" s="173" t="s">
        <v>69</v>
      </c>
      <c r="I545" s="173" t="s">
        <v>26</v>
      </c>
      <c r="J545" s="175" t="str">
        <f t="shared" si="32"/>
        <v>Drawer FrontWide Narrow Combo 4544.4482Shaker 4544/4482Daintree               8235-05</v>
      </c>
      <c r="K545" s="174" t="s">
        <v>1394</v>
      </c>
    </row>
    <row r="546" spans="1:11" x14ac:dyDescent="0.35">
      <c r="A546" s="209" t="s">
        <v>1190</v>
      </c>
      <c r="B546" s="209" t="s">
        <v>1184</v>
      </c>
      <c r="C546" t="s">
        <v>166</v>
      </c>
      <c r="D546" s="210" t="s">
        <v>1191</v>
      </c>
      <c r="E546" t="s">
        <v>1042</v>
      </c>
      <c r="F546" s="211" t="s">
        <v>1199</v>
      </c>
      <c r="G546" s="173" t="s">
        <v>92</v>
      </c>
      <c r="H546" s="173" t="s">
        <v>69</v>
      </c>
      <c r="I546" s="173" t="s">
        <v>26</v>
      </c>
      <c r="J546" s="175" t="str">
        <f t="shared" si="32"/>
        <v>Drawer FrontWide Narrow Combo 4544.4482Shaker 4544/4482Monteverdi          8236-05</v>
      </c>
      <c r="K546" s="174" t="s">
        <v>1395</v>
      </c>
    </row>
    <row r="547" spans="1:11" x14ac:dyDescent="0.35">
      <c r="A547" s="209" t="s">
        <v>1192</v>
      </c>
      <c r="B547" s="209" t="s">
        <v>1184</v>
      </c>
      <c r="C547" t="s">
        <v>166</v>
      </c>
      <c r="D547" s="210" t="s">
        <v>1193</v>
      </c>
      <c r="E547" t="s">
        <v>1042</v>
      </c>
      <c r="F547" s="211" t="s">
        <v>1202</v>
      </c>
      <c r="G547" s="173" t="s">
        <v>92</v>
      </c>
      <c r="H547" s="173" t="s">
        <v>69</v>
      </c>
      <c r="I547" s="173" t="s">
        <v>26</v>
      </c>
      <c r="J547" s="175" t="str">
        <f t="shared" si="32"/>
        <v>Drawer FrontWide Narrow Combo 4544.4482Shaker 4544/4482Great Bear           8237-05</v>
      </c>
      <c r="K547" s="174" t="s">
        <v>1396</v>
      </c>
    </row>
    <row r="548" spans="1:11" x14ac:dyDescent="0.35">
      <c r="A548" s="209" t="s">
        <v>1194</v>
      </c>
      <c r="B548" s="209" t="s">
        <v>1184</v>
      </c>
      <c r="C548" t="s">
        <v>166</v>
      </c>
      <c r="D548" s="210" t="s">
        <v>1195</v>
      </c>
      <c r="E548" t="s">
        <v>1042</v>
      </c>
      <c r="F548" s="211" t="s">
        <v>1203</v>
      </c>
      <c r="G548" s="173" t="s">
        <v>92</v>
      </c>
      <c r="H548" s="173" t="s">
        <v>69</v>
      </c>
      <c r="I548" s="173" t="s">
        <v>26</v>
      </c>
      <c r="J548" s="175" t="str">
        <f t="shared" si="32"/>
        <v>Drawer FrontWide Narrow Combo 4544.4482Shaker 4544/4482Fairchild               8238-05</v>
      </c>
      <c r="K548" s="174" t="s">
        <v>1397</v>
      </c>
    </row>
    <row r="549" spans="1:11" x14ac:dyDescent="0.35">
      <c r="A549" s="209" t="s">
        <v>1196</v>
      </c>
      <c r="B549" s="209" t="s">
        <v>198</v>
      </c>
      <c r="C549" t="s">
        <v>166</v>
      </c>
      <c r="D549" s="210" t="s">
        <v>1197</v>
      </c>
      <c r="E549" t="s">
        <v>1042</v>
      </c>
      <c r="F549" s="211" t="s">
        <v>1204</v>
      </c>
      <c r="G549" s="173" t="s">
        <v>92</v>
      </c>
      <c r="H549" s="173" t="s">
        <v>69</v>
      </c>
      <c r="I549" s="173" t="s">
        <v>26</v>
      </c>
      <c r="J549" s="175" t="str">
        <f t="shared" si="32"/>
        <v>Drawer FrontWide Narrow Combo 4544.4482Shaker 4544/4482Indigo                   D379-60</v>
      </c>
      <c r="K549" s="174" t="s">
        <v>1398</v>
      </c>
    </row>
    <row r="550" spans="1:11" x14ac:dyDescent="0.35">
      <c r="A550" s="209" t="s">
        <v>1106</v>
      </c>
      <c r="B550" s="209" t="s">
        <v>1115</v>
      </c>
      <c r="C550" t="s">
        <v>166</v>
      </c>
      <c r="D550" t="s">
        <v>880</v>
      </c>
      <c r="E550" t="s">
        <v>1042</v>
      </c>
      <c r="F550" t="s">
        <v>891</v>
      </c>
      <c r="G550" s="173" t="s">
        <v>92</v>
      </c>
      <c r="H550" s="173" t="s">
        <v>69</v>
      </c>
      <c r="I550" s="173" t="s">
        <v>26</v>
      </c>
      <c r="J550" s="175" t="str">
        <f t="shared" si="32"/>
        <v>Drawer FrontWide Narrow Combo 4544.4482Shaker 4544/4482White Cypress    7976-79</v>
      </c>
      <c r="K550" s="174" t="s">
        <v>1399</v>
      </c>
    </row>
    <row r="551" spans="1:11" x14ac:dyDescent="0.35">
      <c r="A551" s="209" t="s">
        <v>1107</v>
      </c>
      <c r="B551" s="209" t="s">
        <v>1115</v>
      </c>
      <c r="C551" t="s">
        <v>166</v>
      </c>
      <c r="D551" t="s">
        <v>881</v>
      </c>
      <c r="E551" t="s">
        <v>1042</v>
      </c>
      <c r="F551" t="s">
        <v>892</v>
      </c>
      <c r="G551" s="173" t="s">
        <v>92</v>
      </c>
      <c r="H551" s="173" t="s">
        <v>69</v>
      </c>
      <c r="I551" s="173" t="s">
        <v>26</v>
      </c>
      <c r="J551" s="175" t="str">
        <f t="shared" si="32"/>
        <v>Drawer FrontWide Narrow Combo 4544.4482Shaker 4544/4482Randolph Forest    8225-79</v>
      </c>
      <c r="K551" s="174" t="s">
        <v>1400</v>
      </c>
    </row>
    <row r="552" spans="1:11" x14ac:dyDescent="0.35">
      <c r="A552" s="209" t="s">
        <v>1108</v>
      </c>
      <c r="B552" s="209" t="s">
        <v>1115</v>
      </c>
      <c r="C552" t="s">
        <v>166</v>
      </c>
      <c r="D552" t="s">
        <v>882</v>
      </c>
      <c r="E552" t="s">
        <v>1042</v>
      </c>
      <c r="F552" t="s">
        <v>893</v>
      </c>
      <c r="G552" s="173" t="s">
        <v>92</v>
      </c>
      <c r="H552" s="173" t="s">
        <v>69</v>
      </c>
      <c r="I552" s="173" t="s">
        <v>26</v>
      </c>
      <c r="J552" s="175" t="str">
        <f t="shared" si="32"/>
        <v>Drawer FrontWide Narrow Combo 4544.4482Shaker 4544/4482Dering Forest    8226-79</v>
      </c>
      <c r="K552" s="174" t="s">
        <v>1401</v>
      </c>
    </row>
    <row r="553" spans="1:11" x14ac:dyDescent="0.35">
      <c r="A553" s="209" t="s">
        <v>1109</v>
      </c>
      <c r="B553" s="209" t="s">
        <v>1115</v>
      </c>
      <c r="C553" t="s">
        <v>166</v>
      </c>
      <c r="D553" t="s">
        <v>883</v>
      </c>
      <c r="E553" t="s">
        <v>1042</v>
      </c>
      <c r="F553" t="s">
        <v>894</v>
      </c>
      <c r="G553" s="173" t="s">
        <v>92</v>
      </c>
      <c r="H553" s="173" t="s">
        <v>69</v>
      </c>
      <c r="I553" s="173" t="s">
        <v>26</v>
      </c>
      <c r="J553" s="175" t="str">
        <f t="shared" si="32"/>
        <v>Drawer FrontWide Narrow Combo 4544.4482Shaker 4544/4482White River Forest    8227-79</v>
      </c>
      <c r="K553" s="174" t="s">
        <v>1402</v>
      </c>
    </row>
    <row r="554" spans="1:11" x14ac:dyDescent="0.35">
      <c r="A554" s="209" t="s">
        <v>1110</v>
      </c>
      <c r="B554" s="209" t="s">
        <v>1115</v>
      </c>
      <c r="C554" t="s">
        <v>166</v>
      </c>
      <c r="D554" t="s">
        <v>884</v>
      </c>
      <c r="E554" t="s">
        <v>1042</v>
      </c>
      <c r="F554" t="s">
        <v>895</v>
      </c>
      <c r="G554" s="173" t="s">
        <v>92</v>
      </c>
      <c r="H554" s="173" t="s">
        <v>69</v>
      </c>
      <c r="I554" s="173" t="s">
        <v>26</v>
      </c>
      <c r="J554" s="175" t="str">
        <f t="shared" si="32"/>
        <v>Drawer FrontWide Narrow Combo 4544.4482Shaker 4544/4482Avondale Ash    8228-79</v>
      </c>
      <c r="K554" s="174" t="s">
        <v>1403</v>
      </c>
    </row>
    <row r="555" spans="1:11" x14ac:dyDescent="0.35">
      <c r="A555" s="209" t="s">
        <v>1111</v>
      </c>
      <c r="B555" s="209" t="s">
        <v>1115</v>
      </c>
      <c r="C555" t="s">
        <v>166</v>
      </c>
      <c r="D555" t="s">
        <v>885</v>
      </c>
      <c r="E555" t="s">
        <v>1042</v>
      </c>
      <c r="F555" t="s">
        <v>896</v>
      </c>
      <c r="G555" s="173" t="s">
        <v>92</v>
      </c>
      <c r="H555" s="173" t="s">
        <v>69</v>
      </c>
      <c r="I555" s="173" t="s">
        <v>26</v>
      </c>
      <c r="J555" s="175" t="str">
        <f t="shared" si="32"/>
        <v>Drawer FrontWide Narrow Combo 4544.4482Shaker 4544/4482Friston Ash    8229-79</v>
      </c>
      <c r="K555" s="174" t="s">
        <v>1404</v>
      </c>
    </row>
    <row r="556" spans="1:11" x14ac:dyDescent="0.35">
      <c r="A556" s="209" t="s">
        <v>1112</v>
      </c>
      <c r="B556" s="209" t="s">
        <v>1115</v>
      </c>
      <c r="C556" t="s">
        <v>166</v>
      </c>
      <c r="D556" t="s">
        <v>886</v>
      </c>
      <c r="E556" t="s">
        <v>1042</v>
      </c>
      <c r="F556" t="s">
        <v>897</v>
      </c>
      <c r="G556" s="173" t="s">
        <v>92</v>
      </c>
      <c r="H556" s="173" t="s">
        <v>69</v>
      </c>
      <c r="I556" s="173" t="s">
        <v>26</v>
      </c>
      <c r="J556" s="175" t="str">
        <f t="shared" si="32"/>
        <v>Drawer FrontWide Narrow Combo 4544.4482Shaker 4544/4482Valley Forge Elm    8231-79</v>
      </c>
      <c r="K556" s="174" t="s">
        <v>1405</v>
      </c>
    </row>
    <row r="557" spans="1:11" x14ac:dyDescent="0.35">
      <c r="A557" s="209" t="s">
        <v>1113</v>
      </c>
      <c r="B557" s="209" t="s">
        <v>193</v>
      </c>
      <c r="C557" t="s">
        <v>166</v>
      </c>
      <c r="D557" t="s">
        <v>887</v>
      </c>
      <c r="E557" t="s">
        <v>1042</v>
      </c>
      <c r="F557" t="s">
        <v>898</v>
      </c>
      <c r="G557" s="173" t="s">
        <v>92</v>
      </c>
      <c r="H557" s="173" t="s">
        <v>69</v>
      </c>
      <c r="I557" s="173" t="s">
        <v>26</v>
      </c>
      <c r="J557" s="175" t="str">
        <f t="shared" si="32"/>
        <v>Drawer FrontWide Narrow Combo 4544.4482Shaker 4544/4482High Line    7970-28</v>
      </c>
      <c r="K557" s="174" t="s">
        <v>1406</v>
      </c>
    </row>
    <row r="558" spans="1:11" x14ac:dyDescent="0.35">
      <c r="A558" s="209" t="s">
        <v>183</v>
      </c>
      <c r="B558" s="209" t="s">
        <v>193</v>
      </c>
      <c r="C558" t="s">
        <v>166</v>
      </c>
      <c r="D558" t="s">
        <v>888</v>
      </c>
      <c r="E558" t="s">
        <v>1042</v>
      </c>
      <c r="F558" t="s">
        <v>899</v>
      </c>
      <c r="G558" s="173" t="s">
        <v>92</v>
      </c>
      <c r="H558" s="173" t="s">
        <v>69</v>
      </c>
      <c r="I558" s="173" t="s">
        <v>26</v>
      </c>
      <c r="J558" s="175" t="str">
        <f t="shared" si="32"/>
        <v>Drawer FrontWide Narrow Combo 4544.4482Shaker 4544/4482Neowalnut    7991-28</v>
      </c>
      <c r="K558" s="174" t="s">
        <v>1407</v>
      </c>
    </row>
    <row r="559" spans="1:11" x14ac:dyDescent="0.35">
      <c r="A559" s="209" t="s">
        <v>1114</v>
      </c>
      <c r="B559" s="209" t="s">
        <v>193</v>
      </c>
      <c r="C559" t="s">
        <v>166</v>
      </c>
      <c r="D559" t="s">
        <v>889</v>
      </c>
      <c r="E559" t="s">
        <v>1042</v>
      </c>
      <c r="F559" t="s">
        <v>900</v>
      </c>
      <c r="G559" s="173" t="s">
        <v>92</v>
      </c>
      <c r="H559" s="173" t="s">
        <v>69</v>
      </c>
      <c r="I559" s="173" t="s">
        <v>26</v>
      </c>
      <c r="J559" s="175" t="str">
        <f t="shared" si="32"/>
        <v>Drawer FrontWide Narrow Combo 4544.4482Shaker 4544/4482Portico Teak    8210-28</v>
      </c>
      <c r="K559" s="174" t="s">
        <v>1408</v>
      </c>
    </row>
    <row r="560" spans="1:11" x14ac:dyDescent="0.35">
      <c r="A560" s="209" t="s">
        <v>879</v>
      </c>
      <c r="B560" s="209" t="s">
        <v>198</v>
      </c>
      <c r="C560" t="s">
        <v>166</v>
      </c>
      <c r="D560" t="s">
        <v>890</v>
      </c>
      <c r="E560" t="s">
        <v>1042</v>
      </c>
      <c r="F560" t="s">
        <v>901</v>
      </c>
      <c r="G560" s="173" t="s">
        <v>92</v>
      </c>
      <c r="H560" s="173" t="s">
        <v>69</v>
      </c>
      <c r="I560" s="173" t="s">
        <v>26</v>
      </c>
      <c r="J560" s="175" t="str">
        <f t="shared" si="32"/>
        <v>Drawer FrontWide Narrow Combo 4544.4482Shaker 4544/4482Pepperdust    D327-60</v>
      </c>
      <c r="K560" s="174" t="s">
        <v>1409</v>
      </c>
    </row>
    <row r="561" spans="1:11" x14ac:dyDescent="0.35">
      <c r="A561" s="209" t="s">
        <v>230</v>
      </c>
      <c r="B561" s="209" t="s">
        <v>165</v>
      </c>
      <c r="C561" t="s">
        <v>166</v>
      </c>
      <c r="D561" t="s">
        <v>231</v>
      </c>
      <c r="E561" t="s">
        <v>1042</v>
      </c>
      <c r="F561" s="173" t="s">
        <v>12</v>
      </c>
      <c r="G561" s="173" t="s">
        <v>92</v>
      </c>
      <c r="H561" s="173" t="s">
        <v>69</v>
      </c>
      <c r="I561" s="173" t="s">
        <v>26</v>
      </c>
      <c r="J561" s="175" t="str">
        <f t="shared" si="32"/>
        <v>Drawer FrontWide Narrow Combo 4544.4482Shaker 4544/4482Columbian Walnut  7943-07</v>
      </c>
      <c r="K561" s="174" t="s">
        <v>1410</v>
      </c>
    </row>
    <row r="562" spans="1:11" x14ac:dyDescent="0.35">
      <c r="A562" s="209" t="s">
        <v>234</v>
      </c>
      <c r="B562" s="209" t="s">
        <v>184</v>
      </c>
      <c r="C562" t="s">
        <v>166</v>
      </c>
      <c r="D562" t="s">
        <v>235</v>
      </c>
      <c r="E562" t="s">
        <v>1042</v>
      </c>
      <c r="F562" s="173" t="s">
        <v>131</v>
      </c>
      <c r="G562" s="173" t="s">
        <v>92</v>
      </c>
      <c r="H562" s="173" t="s">
        <v>69</v>
      </c>
      <c r="I562" s="173" t="s">
        <v>26</v>
      </c>
      <c r="J562" s="175" t="str">
        <f t="shared" si="32"/>
        <v>Drawer FrontWide Narrow Combo 4544.4482Shaker 4544/4482Florence Walnut    7993-38</v>
      </c>
      <c r="K562" s="174" t="s">
        <v>1411</v>
      </c>
    </row>
    <row r="563" spans="1:11" x14ac:dyDescent="0.35">
      <c r="A563" s="209" t="s">
        <v>164</v>
      </c>
      <c r="B563" s="209" t="s">
        <v>165</v>
      </c>
      <c r="D563" t="s">
        <v>167</v>
      </c>
      <c r="F563" s="173" t="s">
        <v>132</v>
      </c>
      <c r="G563" s="173" t="s">
        <v>37</v>
      </c>
      <c r="H563" s="173" t="s">
        <v>37</v>
      </c>
      <c r="I563" s="173" t="s">
        <v>37</v>
      </c>
      <c r="J563" s="175" t="str">
        <f t="shared" si="24"/>
        <v>SlabSlabSlabShaker Cherry       7935-07</v>
      </c>
      <c r="K563" s="174" t="s">
        <v>861</v>
      </c>
    </row>
    <row r="564" spans="1:11" x14ac:dyDescent="0.35">
      <c r="A564" s="209" t="s">
        <v>170</v>
      </c>
      <c r="B564" s="209" t="s">
        <v>165</v>
      </c>
      <c r="D564" t="s">
        <v>171</v>
      </c>
      <c r="F564" s="173" t="s">
        <v>133</v>
      </c>
      <c r="G564" s="173" t="s">
        <v>37</v>
      </c>
      <c r="H564" s="173" t="s">
        <v>37</v>
      </c>
      <c r="I564" s="173" t="s">
        <v>37</v>
      </c>
      <c r="J564" s="175" t="str">
        <f t="shared" si="24"/>
        <v>SlabSlabSlabCafelle 7933-07</v>
      </c>
      <c r="K564" s="174" t="s">
        <v>862</v>
      </c>
    </row>
    <row r="565" spans="1:11" x14ac:dyDescent="0.35">
      <c r="A565" s="209" t="s">
        <v>174</v>
      </c>
      <c r="B565" s="209" t="s">
        <v>175</v>
      </c>
      <c r="D565" t="s">
        <v>176</v>
      </c>
      <c r="F565" s="173" t="s">
        <v>123</v>
      </c>
      <c r="G565" s="173" t="s">
        <v>37</v>
      </c>
      <c r="H565" s="173" t="s">
        <v>37</v>
      </c>
      <c r="I565" s="173" t="s">
        <v>37</v>
      </c>
      <c r="J565" s="175" t="str">
        <f t="shared" si="24"/>
        <v>SlabSlabSlabWhite Driftwood      8200-16</v>
      </c>
      <c r="K565" s="174" t="s">
        <v>863</v>
      </c>
    </row>
    <row r="566" spans="1:11" x14ac:dyDescent="0.35">
      <c r="A566" s="209" t="s">
        <v>179</v>
      </c>
      <c r="B566" s="209" t="s">
        <v>175</v>
      </c>
      <c r="D566" t="s">
        <v>180</v>
      </c>
      <c r="F566" s="173" t="s">
        <v>124</v>
      </c>
      <c r="G566" s="173" t="s">
        <v>37</v>
      </c>
      <c r="H566" s="173" t="s">
        <v>37</v>
      </c>
      <c r="I566" s="173" t="s">
        <v>37</v>
      </c>
      <c r="J566" s="175" t="str">
        <f t="shared" si="24"/>
        <v>SlabSlabSlabWeathered Char     8204-16</v>
      </c>
      <c r="K566" s="174" t="s">
        <v>864</v>
      </c>
    </row>
    <row r="567" spans="1:11" x14ac:dyDescent="0.35">
      <c r="A567" s="209" t="s">
        <v>183</v>
      </c>
      <c r="B567" s="209" t="s">
        <v>184</v>
      </c>
      <c r="D567" t="s">
        <v>185</v>
      </c>
      <c r="F567" s="173" t="s">
        <v>134</v>
      </c>
      <c r="G567" s="173" t="s">
        <v>37</v>
      </c>
      <c r="H567" s="173" t="s">
        <v>37</v>
      </c>
      <c r="I567" s="173" t="s">
        <v>37</v>
      </c>
      <c r="J567" s="175" t="str">
        <f t="shared" si="24"/>
        <v>SlabSlabSlabNeowalnut 7991-38</v>
      </c>
      <c r="K567" s="174" t="s">
        <v>865</v>
      </c>
    </row>
    <row r="568" spans="1:11" x14ac:dyDescent="0.35">
      <c r="A568" s="209" t="s">
        <v>188</v>
      </c>
      <c r="B568" s="209" t="s">
        <v>184</v>
      </c>
      <c r="D568" t="s">
        <v>189</v>
      </c>
      <c r="F568" s="173" t="s">
        <v>135</v>
      </c>
      <c r="G568" s="173" t="s">
        <v>37</v>
      </c>
      <c r="H568" s="173" t="s">
        <v>37</v>
      </c>
      <c r="I568" s="173" t="s">
        <v>37</v>
      </c>
      <c r="J568" s="175" t="str">
        <f t="shared" si="24"/>
        <v>SlabSlabSlabEbony Recon        7997-38</v>
      </c>
      <c r="K568" s="174" t="s">
        <v>866</v>
      </c>
    </row>
    <row r="569" spans="1:11" x14ac:dyDescent="0.35">
      <c r="A569" s="209" t="s">
        <v>192</v>
      </c>
      <c r="B569" s="209" t="s">
        <v>193</v>
      </c>
      <c r="D569" t="s">
        <v>194</v>
      </c>
      <c r="F569" s="173" t="s">
        <v>36</v>
      </c>
      <c r="G569" s="173" t="s">
        <v>37</v>
      </c>
      <c r="H569" s="173" t="s">
        <v>37</v>
      </c>
      <c r="I569" s="173" t="s">
        <v>37</v>
      </c>
      <c r="J569" s="175" t="str">
        <f t="shared" si="24"/>
        <v>SlabSlabSlabPhantom Charcoal  8214-28</v>
      </c>
      <c r="K569" s="174" t="s">
        <v>867</v>
      </c>
    </row>
    <row r="570" spans="1:11" x14ac:dyDescent="0.35">
      <c r="A570" s="209" t="s">
        <v>197</v>
      </c>
      <c r="B570" s="209" t="s">
        <v>198</v>
      </c>
      <c r="D570" t="s">
        <v>199</v>
      </c>
      <c r="F570" s="173" t="s">
        <v>11</v>
      </c>
      <c r="G570" s="173" t="s">
        <v>37</v>
      </c>
      <c r="H570" s="173" t="s">
        <v>37</v>
      </c>
      <c r="I570" s="173" t="s">
        <v>37</v>
      </c>
      <c r="J570" s="175" t="str">
        <f t="shared" si="24"/>
        <v>SlabSlabSlabLinen  D427-60</v>
      </c>
      <c r="K570" s="174" t="s">
        <v>868</v>
      </c>
    </row>
    <row r="571" spans="1:11" x14ac:dyDescent="0.35">
      <c r="A571" s="209" t="s">
        <v>202</v>
      </c>
      <c r="B571" s="209" t="s">
        <v>193</v>
      </c>
      <c r="D571" t="s">
        <v>203</v>
      </c>
      <c r="F571" s="173" t="s">
        <v>136</v>
      </c>
      <c r="G571" s="173" t="s">
        <v>37</v>
      </c>
      <c r="H571" s="173" t="s">
        <v>37</v>
      </c>
      <c r="I571" s="173" t="s">
        <v>37</v>
      </c>
      <c r="J571" s="175" t="str">
        <f t="shared" si="24"/>
        <v>SlabSlabSlabPhantom Pearl      8211-28</v>
      </c>
      <c r="K571" s="174" t="s">
        <v>869</v>
      </c>
    </row>
    <row r="572" spans="1:11" x14ac:dyDescent="0.35">
      <c r="A572" s="209" t="s">
        <v>206</v>
      </c>
      <c r="B572" s="209" t="s">
        <v>193</v>
      </c>
      <c r="D572" t="s">
        <v>207</v>
      </c>
      <c r="F572" s="173" t="s">
        <v>125</v>
      </c>
      <c r="G572" s="173" t="s">
        <v>37</v>
      </c>
      <c r="H572" s="173" t="s">
        <v>37</v>
      </c>
      <c r="I572" s="173" t="s">
        <v>37</v>
      </c>
      <c r="J572" s="175" t="str">
        <f t="shared" si="24"/>
        <v>SlabSlabSlabVeranda Teak        8209-28</v>
      </c>
      <c r="K572" s="174" t="s">
        <v>870</v>
      </c>
    </row>
    <row r="573" spans="1:11" x14ac:dyDescent="0.35">
      <c r="A573" s="209" t="s">
        <v>210</v>
      </c>
      <c r="B573" s="209" t="s">
        <v>175</v>
      </c>
      <c r="D573" t="s">
        <v>211</v>
      </c>
      <c r="F573" s="173" t="s">
        <v>126</v>
      </c>
      <c r="G573" s="173" t="s">
        <v>37</v>
      </c>
      <c r="H573" s="173" t="s">
        <v>37</v>
      </c>
      <c r="I573" s="173" t="s">
        <v>37</v>
      </c>
      <c r="J573" s="175" t="str">
        <f t="shared" si="24"/>
        <v>SlabSlabSlabBranded Oak         8207-16</v>
      </c>
      <c r="K573" s="174" t="s">
        <v>871</v>
      </c>
    </row>
    <row r="574" spans="1:11" x14ac:dyDescent="0.35">
      <c r="A574" s="209" t="s">
        <v>214</v>
      </c>
      <c r="B574" s="209" t="s">
        <v>175</v>
      </c>
      <c r="D574" t="s">
        <v>215</v>
      </c>
      <c r="F574" s="173" t="s">
        <v>127</v>
      </c>
      <c r="G574" s="173" t="s">
        <v>37</v>
      </c>
      <c r="H574" s="173" t="s">
        <v>37</v>
      </c>
      <c r="I574" s="173" t="s">
        <v>37</v>
      </c>
      <c r="J574" s="175" t="str">
        <f t="shared" si="24"/>
        <v>SlabSlabSlabSaddle Oak           8206-16</v>
      </c>
      <c r="K574" s="174" t="s">
        <v>872</v>
      </c>
    </row>
    <row r="575" spans="1:11" x14ac:dyDescent="0.35">
      <c r="A575" s="209" t="s">
        <v>218</v>
      </c>
      <c r="B575" s="209" t="s">
        <v>193</v>
      </c>
      <c r="D575" t="s">
        <v>219</v>
      </c>
      <c r="F575" s="173" t="s">
        <v>129</v>
      </c>
      <c r="G575" s="173" t="s">
        <v>37</v>
      </c>
      <c r="H575" s="173" t="s">
        <v>37</v>
      </c>
      <c r="I575" s="173" t="s">
        <v>37</v>
      </c>
      <c r="J575" s="175" t="str">
        <f t="shared" si="24"/>
        <v>SlabSlabSlabPhantom Ecru       8212-28</v>
      </c>
      <c r="K575" s="174" t="s">
        <v>873</v>
      </c>
    </row>
    <row r="576" spans="1:11" x14ac:dyDescent="0.35">
      <c r="A576" s="209" t="s">
        <v>222</v>
      </c>
      <c r="B576" s="209" t="s">
        <v>175</v>
      </c>
      <c r="D576" t="s">
        <v>223</v>
      </c>
      <c r="F576" s="173" t="s">
        <v>128</v>
      </c>
      <c r="G576" s="173" t="s">
        <v>37</v>
      </c>
      <c r="H576" s="173" t="s">
        <v>37</v>
      </c>
      <c r="I576" s="173" t="s">
        <v>37</v>
      </c>
      <c r="J576" s="175" t="str">
        <f t="shared" si="24"/>
        <v>SlabSlabSlabFawn Cypress       8208-16</v>
      </c>
      <c r="K576" s="174" t="s">
        <v>874</v>
      </c>
    </row>
    <row r="577" spans="1:11" x14ac:dyDescent="0.35">
      <c r="A577" s="209" t="s">
        <v>226</v>
      </c>
      <c r="B577" s="209" t="s">
        <v>184</v>
      </c>
      <c r="D577" t="s">
        <v>227</v>
      </c>
      <c r="F577" s="173" t="s">
        <v>130</v>
      </c>
      <c r="G577" s="173" t="s">
        <v>37</v>
      </c>
      <c r="H577" s="173" t="s">
        <v>37</v>
      </c>
      <c r="I577" s="173" t="s">
        <v>37</v>
      </c>
      <c r="J577" s="175" t="str">
        <f t="shared" si="24"/>
        <v>SlabSlabSlabRiver Cherry          7937-38</v>
      </c>
      <c r="K577" s="174" t="s">
        <v>875</v>
      </c>
    </row>
    <row r="578" spans="1:11" x14ac:dyDescent="0.35">
      <c r="A578" s="209" t="s">
        <v>1183</v>
      </c>
      <c r="B578" s="209" t="s">
        <v>1184</v>
      </c>
      <c r="D578" s="210" t="s">
        <v>1185</v>
      </c>
      <c r="F578" s="211" t="s">
        <v>1201</v>
      </c>
      <c r="G578" s="173" t="s">
        <v>37</v>
      </c>
      <c r="H578" s="173" t="s">
        <v>37</v>
      </c>
      <c r="I578" s="173" t="s">
        <v>37</v>
      </c>
      <c r="J578" s="175" t="str">
        <f t="shared" ref="J578:J584" si="33">CONCATENATE(I578,G578,H578,F578)</f>
        <v>SlabSlabSlabAkira                     8233-05</v>
      </c>
      <c r="K578" s="174" t="s">
        <v>1303</v>
      </c>
    </row>
    <row r="579" spans="1:11" x14ac:dyDescent="0.35">
      <c r="A579" s="209" t="s">
        <v>1186</v>
      </c>
      <c r="B579" s="209" t="s">
        <v>1184</v>
      </c>
      <c r="D579" s="210" t="s">
        <v>1187</v>
      </c>
      <c r="F579" s="211" t="s">
        <v>1200</v>
      </c>
      <c r="G579" s="173" t="s">
        <v>37</v>
      </c>
      <c r="H579" s="173" t="s">
        <v>37</v>
      </c>
      <c r="I579" s="173" t="s">
        <v>37</v>
      </c>
      <c r="J579" s="175" t="str">
        <f t="shared" si="33"/>
        <v>SlabSlabSlabBelair                    8234-05</v>
      </c>
      <c r="K579" s="174" t="s">
        <v>1304</v>
      </c>
    </row>
    <row r="580" spans="1:11" x14ac:dyDescent="0.35">
      <c r="A580" s="209" t="s">
        <v>1188</v>
      </c>
      <c r="B580" s="209" t="s">
        <v>1184</v>
      </c>
      <c r="D580" s="210" t="s">
        <v>1189</v>
      </c>
      <c r="F580" s="211" t="s">
        <v>1198</v>
      </c>
      <c r="G580" s="173" t="s">
        <v>37</v>
      </c>
      <c r="H580" s="173" t="s">
        <v>37</v>
      </c>
      <c r="I580" s="173" t="s">
        <v>37</v>
      </c>
      <c r="J580" s="175" t="str">
        <f t="shared" si="33"/>
        <v>SlabSlabSlabDaintree               8235-05</v>
      </c>
      <c r="K580" s="174" t="s">
        <v>1305</v>
      </c>
    </row>
    <row r="581" spans="1:11" x14ac:dyDescent="0.35">
      <c r="A581" s="209" t="s">
        <v>1190</v>
      </c>
      <c r="B581" s="209" t="s">
        <v>1184</v>
      </c>
      <c r="D581" s="210" t="s">
        <v>1191</v>
      </c>
      <c r="F581" s="211" t="s">
        <v>1199</v>
      </c>
      <c r="G581" s="173" t="s">
        <v>37</v>
      </c>
      <c r="H581" s="173" t="s">
        <v>37</v>
      </c>
      <c r="I581" s="173" t="s">
        <v>37</v>
      </c>
      <c r="J581" s="175" t="str">
        <f t="shared" si="33"/>
        <v>SlabSlabSlabMonteverdi          8236-05</v>
      </c>
      <c r="K581" s="174" t="s">
        <v>1306</v>
      </c>
    </row>
    <row r="582" spans="1:11" x14ac:dyDescent="0.35">
      <c r="A582" s="209" t="s">
        <v>1192</v>
      </c>
      <c r="B582" s="209" t="s">
        <v>1184</v>
      </c>
      <c r="D582" s="210" t="s">
        <v>1193</v>
      </c>
      <c r="F582" s="211" t="s">
        <v>1202</v>
      </c>
      <c r="G582" s="173" t="s">
        <v>37</v>
      </c>
      <c r="H582" s="173" t="s">
        <v>37</v>
      </c>
      <c r="I582" s="173" t="s">
        <v>37</v>
      </c>
      <c r="J582" s="175" t="str">
        <f t="shared" si="33"/>
        <v>SlabSlabSlabGreat Bear           8237-05</v>
      </c>
      <c r="K582" s="174" t="s">
        <v>1307</v>
      </c>
    </row>
    <row r="583" spans="1:11" x14ac:dyDescent="0.35">
      <c r="A583" s="209" t="s">
        <v>1194</v>
      </c>
      <c r="B583" s="209" t="s">
        <v>1184</v>
      </c>
      <c r="D583" s="210" t="s">
        <v>1195</v>
      </c>
      <c r="F583" s="211" t="s">
        <v>1203</v>
      </c>
      <c r="G583" s="173" t="s">
        <v>37</v>
      </c>
      <c r="H583" s="173" t="s">
        <v>37</v>
      </c>
      <c r="I583" s="173" t="s">
        <v>37</v>
      </c>
      <c r="J583" s="175" t="str">
        <f t="shared" si="33"/>
        <v>SlabSlabSlabFairchild               8238-05</v>
      </c>
      <c r="K583" s="174" t="s">
        <v>1308</v>
      </c>
    </row>
    <row r="584" spans="1:11" x14ac:dyDescent="0.35">
      <c r="A584" s="209" t="s">
        <v>1196</v>
      </c>
      <c r="B584" s="209" t="s">
        <v>198</v>
      </c>
      <c r="D584" s="210" t="s">
        <v>1197</v>
      </c>
      <c r="F584" s="211" t="s">
        <v>1204</v>
      </c>
      <c r="G584" s="173" t="s">
        <v>37</v>
      </c>
      <c r="H584" s="173" t="s">
        <v>37</v>
      </c>
      <c r="I584" s="173" t="s">
        <v>37</v>
      </c>
      <c r="J584" s="175" t="str">
        <f t="shared" si="33"/>
        <v>SlabSlabSlabIndigo                   D379-60</v>
      </c>
      <c r="K584" s="174" t="s">
        <v>1309</v>
      </c>
    </row>
    <row r="585" spans="1:11" x14ac:dyDescent="0.35">
      <c r="A585" s="209" t="s">
        <v>1106</v>
      </c>
      <c r="B585" s="209" t="s">
        <v>1115</v>
      </c>
      <c r="D585" t="s">
        <v>880</v>
      </c>
      <c r="F585" t="s">
        <v>891</v>
      </c>
      <c r="G585" s="173" t="s">
        <v>37</v>
      </c>
      <c r="H585" s="173" t="s">
        <v>37</v>
      </c>
      <c r="I585" s="173" t="s">
        <v>37</v>
      </c>
      <c r="J585" s="175" t="str">
        <f t="shared" ref="J585:J595" si="34">CONCATENATE(I585,G585,H585,F585)</f>
        <v>SlabSlabSlabWhite Cypress    7976-79</v>
      </c>
      <c r="K585" s="174" t="s">
        <v>1310</v>
      </c>
    </row>
    <row r="586" spans="1:11" x14ac:dyDescent="0.35">
      <c r="A586" s="209" t="s">
        <v>1107</v>
      </c>
      <c r="B586" s="209" t="s">
        <v>1115</v>
      </c>
      <c r="D586" t="s">
        <v>881</v>
      </c>
      <c r="F586" t="s">
        <v>892</v>
      </c>
      <c r="G586" s="173" t="s">
        <v>37</v>
      </c>
      <c r="H586" s="173" t="s">
        <v>37</v>
      </c>
      <c r="I586" s="173" t="s">
        <v>37</v>
      </c>
      <c r="J586" s="175" t="str">
        <f t="shared" si="34"/>
        <v>SlabSlabSlabRandolph Forest    8225-79</v>
      </c>
      <c r="K586" s="174" t="s">
        <v>1311</v>
      </c>
    </row>
    <row r="587" spans="1:11" x14ac:dyDescent="0.35">
      <c r="A587" s="209" t="s">
        <v>1108</v>
      </c>
      <c r="B587" s="209" t="s">
        <v>1115</v>
      </c>
      <c r="D587" t="s">
        <v>882</v>
      </c>
      <c r="F587" t="s">
        <v>893</v>
      </c>
      <c r="G587" s="173" t="s">
        <v>37</v>
      </c>
      <c r="H587" s="173" t="s">
        <v>37</v>
      </c>
      <c r="I587" s="173" t="s">
        <v>37</v>
      </c>
      <c r="J587" s="175" t="str">
        <f t="shared" si="34"/>
        <v>SlabSlabSlabDering Forest    8226-79</v>
      </c>
      <c r="K587" s="174" t="s">
        <v>1312</v>
      </c>
    </row>
    <row r="588" spans="1:11" x14ac:dyDescent="0.35">
      <c r="A588" s="209" t="s">
        <v>1109</v>
      </c>
      <c r="B588" s="209" t="s">
        <v>1115</v>
      </c>
      <c r="D588" t="s">
        <v>883</v>
      </c>
      <c r="F588" t="s">
        <v>894</v>
      </c>
      <c r="G588" s="173" t="s">
        <v>37</v>
      </c>
      <c r="H588" s="173" t="s">
        <v>37</v>
      </c>
      <c r="I588" s="173" t="s">
        <v>37</v>
      </c>
      <c r="J588" s="175" t="str">
        <f t="shared" si="34"/>
        <v>SlabSlabSlabWhite River Forest    8227-79</v>
      </c>
      <c r="K588" s="174" t="s">
        <v>1313</v>
      </c>
    </row>
    <row r="589" spans="1:11" x14ac:dyDescent="0.35">
      <c r="A589" s="209" t="s">
        <v>1110</v>
      </c>
      <c r="B589" s="209" t="s">
        <v>1115</v>
      </c>
      <c r="D589" t="s">
        <v>884</v>
      </c>
      <c r="F589" t="s">
        <v>895</v>
      </c>
      <c r="G589" s="173" t="s">
        <v>37</v>
      </c>
      <c r="H589" s="173" t="s">
        <v>37</v>
      </c>
      <c r="I589" s="173" t="s">
        <v>37</v>
      </c>
      <c r="J589" s="175" t="str">
        <f t="shared" si="34"/>
        <v>SlabSlabSlabAvondale Ash    8228-79</v>
      </c>
      <c r="K589" s="174" t="s">
        <v>1314</v>
      </c>
    </row>
    <row r="590" spans="1:11" x14ac:dyDescent="0.35">
      <c r="A590" s="209" t="s">
        <v>1111</v>
      </c>
      <c r="B590" s="209" t="s">
        <v>1115</v>
      </c>
      <c r="D590" t="s">
        <v>885</v>
      </c>
      <c r="F590" t="s">
        <v>896</v>
      </c>
      <c r="G590" s="173" t="s">
        <v>37</v>
      </c>
      <c r="H590" s="173" t="s">
        <v>37</v>
      </c>
      <c r="I590" s="173" t="s">
        <v>37</v>
      </c>
      <c r="J590" s="175" t="str">
        <f t="shared" si="34"/>
        <v>SlabSlabSlabFriston Ash    8229-79</v>
      </c>
      <c r="K590" s="174" t="s">
        <v>1315</v>
      </c>
    </row>
    <row r="591" spans="1:11" x14ac:dyDescent="0.35">
      <c r="A591" s="209" t="s">
        <v>1112</v>
      </c>
      <c r="B591" s="209" t="s">
        <v>1115</v>
      </c>
      <c r="D591" t="s">
        <v>886</v>
      </c>
      <c r="F591" t="s">
        <v>897</v>
      </c>
      <c r="G591" s="173" t="s">
        <v>37</v>
      </c>
      <c r="H591" s="173" t="s">
        <v>37</v>
      </c>
      <c r="I591" s="173" t="s">
        <v>37</v>
      </c>
      <c r="J591" s="175" t="str">
        <f t="shared" si="34"/>
        <v>SlabSlabSlabValley Forge Elm    8231-79</v>
      </c>
      <c r="K591" s="174" t="s">
        <v>1316</v>
      </c>
    </row>
    <row r="592" spans="1:11" x14ac:dyDescent="0.35">
      <c r="A592" s="209" t="s">
        <v>1113</v>
      </c>
      <c r="B592" s="209" t="s">
        <v>193</v>
      </c>
      <c r="D592" t="s">
        <v>887</v>
      </c>
      <c r="F592" t="s">
        <v>898</v>
      </c>
      <c r="G592" s="173" t="s">
        <v>37</v>
      </c>
      <c r="H592" s="173" t="s">
        <v>37</v>
      </c>
      <c r="I592" s="173" t="s">
        <v>37</v>
      </c>
      <c r="J592" s="175" t="str">
        <f t="shared" si="34"/>
        <v>SlabSlabSlabHigh Line    7970-28</v>
      </c>
      <c r="K592" s="174" t="s">
        <v>1317</v>
      </c>
    </row>
    <row r="593" spans="1:11" x14ac:dyDescent="0.35">
      <c r="A593" s="209" t="s">
        <v>183</v>
      </c>
      <c r="B593" s="209" t="s">
        <v>193</v>
      </c>
      <c r="D593" t="s">
        <v>888</v>
      </c>
      <c r="F593" t="s">
        <v>899</v>
      </c>
      <c r="G593" s="173" t="s">
        <v>37</v>
      </c>
      <c r="H593" s="173" t="s">
        <v>37</v>
      </c>
      <c r="I593" s="173" t="s">
        <v>37</v>
      </c>
      <c r="J593" s="175" t="str">
        <f t="shared" si="34"/>
        <v>SlabSlabSlabNeowalnut    7991-28</v>
      </c>
      <c r="K593" s="174" t="s">
        <v>1318</v>
      </c>
    </row>
    <row r="594" spans="1:11" x14ac:dyDescent="0.35">
      <c r="A594" s="209" t="s">
        <v>1114</v>
      </c>
      <c r="B594" s="209" t="s">
        <v>193</v>
      </c>
      <c r="D594" t="s">
        <v>889</v>
      </c>
      <c r="F594" t="s">
        <v>900</v>
      </c>
      <c r="G594" s="173" t="s">
        <v>37</v>
      </c>
      <c r="H594" s="173" t="s">
        <v>37</v>
      </c>
      <c r="I594" s="173" t="s">
        <v>37</v>
      </c>
      <c r="J594" s="175" t="str">
        <f t="shared" si="34"/>
        <v>SlabSlabSlabPortico Teak    8210-28</v>
      </c>
      <c r="K594" s="174" t="s">
        <v>1319</v>
      </c>
    </row>
    <row r="595" spans="1:11" x14ac:dyDescent="0.35">
      <c r="A595" s="209" t="s">
        <v>879</v>
      </c>
      <c r="B595" s="209" t="s">
        <v>198</v>
      </c>
      <c r="D595" t="s">
        <v>890</v>
      </c>
      <c r="F595" t="s">
        <v>901</v>
      </c>
      <c r="G595" s="173" t="s">
        <v>37</v>
      </c>
      <c r="H595" s="173" t="s">
        <v>37</v>
      </c>
      <c r="I595" s="173" t="s">
        <v>37</v>
      </c>
      <c r="J595" s="175" t="str">
        <f t="shared" si="34"/>
        <v>SlabSlabSlabPepperdust    D327-60</v>
      </c>
      <c r="K595" s="174" t="s">
        <v>1320</v>
      </c>
    </row>
    <row r="596" spans="1:11" x14ac:dyDescent="0.35">
      <c r="A596" s="209" t="s">
        <v>230</v>
      </c>
      <c r="B596" s="209" t="s">
        <v>165</v>
      </c>
      <c r="D596" t="s">
        <v>231</v>
      </c>
      <c r="F596" s="173" t="s">
        <v>12</v>
      </c>
      <c r="G596" s="173" t="s">
        <v>37</v>
      </c>
      <c r="H596" s="173" t="s">
        <v>37</v>
      </c>
      <c r="I596" s="173" t="s">
        <v>37</v>
      </c>
      <c r="J596" s="175" t="str">
        <f t="shared" si="24"/>
        <v>SlabSlabSlabColumbian Walnut  7943-07</v>
      </c>
      <c r="K596" s="174" t="s">
        <v>876</v>
      </c>
    </row>
    <row r="597" spans="1:11" x14ac:dyDescent="0.35">
      <c r="A597" s="209" t="s">
        <v>234</v>
      </c>
      <c r="B597" s="209" t="s">
        <v>184</v>
      </c>
      <c r="D597" t="s">
        <v>235</v>
      </c>
      <c r="F597" s="173" t="s">
        <v>131</v>
      </c>
      <c r="G597" s="173" t="s">
        <v>37</v>
      </c>
      <c r="H597" s="173" t="s">
        <v>37</v>
      </c>
      <c r="I597" s="173" t="s">
        <v>37</v>
      </c>
      <c r="J597" s="175" t="str">
        <f t="shared" si="24"/>
        <v>SlabSlabSlabFlorence Walnut    7993-38</v>
      </c>
      <c r="K597" s="174" t="s">
        <v>877</v>
      </c>
    </row>
    <row r="598" spans="1:11" x14ac:dyDescent="0.35">
      <c r="A598" s="209" t="s">
        <v>164</v>
      </c>
      <c r="B598" s="209" t="s">
        <v>165</v>
      </c>
      <c r="D598" t="s">
        <v>167</v>
      </c>
      <c r="F598" s="173" t="s">
        <v>132</v>
      </c>
      <c r="G598" s="173"/>
      <c r="H598" s="173"/>
      <c r="I598" s="173"/>
      <c r="J598" s="175" t="str">
        <f t="shared" si="24"/>
        <v>Shaker Cherry       7935-07</v>
      </c>
      <c r="K598" s="174" t="s">
        <v>653</v>
      </c>
    </row>
    <row r="599" spans="1:11" x14ac:dyDescent="0.35">
      <c r="A599" s="209" t="s">
        <v>170</v>
      </c>
      <c r="B599" s="209" t="s">
        <v>165</v>
      </c>
      <c r="D599" t="s">
        <v>171</v>
      </c>
      <c r="F599" s="173" t="s">
        <v>133</v>
      </c>
      <c r="G599" s="173"/>
      <c r="H599" s="173"/>
      <c r="I599" s="173"/>
      <c r="J599" s="175" t="str">
        <f t="shared" ref="J599:J638" si="35">CONCATENATE(I599,G599,H599,F599)</f>
        <v>Cafelle 7933-07</v>
      </c>
      <c r="K599" s="174" t="s">
        <v>654</v>
      </c>
    </row>
    <row r="600" spans="1:11" x14ac:dyDescent="0.35">
      <c r="A600" s="209" t="s">
        <v>174</v>
      </c>
      <c r="B600" s="209" t="s">
        <v>175</v>
      </c>
      <c r="D600" t="s">
        <v>176</v>
      </c>
      <c r="F600" s="173" t="s">
        <v>123</v>
      </c>
      <c r="G600" s="173"/>
      <c r="H600" s="173"/>
      <c r="I600" s="173"/>
      <c r="J600" s="175" t="str">
        <f t="shared" si="35"/>
        <v>White Driftwood      8200-16</v>
      </c>
      <c r="K600" s="174" t="s">
        <v>655</v>
      </c>
    </row>
    <row r="601" spans="1:11" x14ac:dyDescent="0.35">
      <c r="A601" s="209" t="s">
        <v>179</v>
      </c>
      <c r="B601" s="209" t="s">
        <v>175</v>
      </c>
      <c r="D601" t="s">
        <v>180</v>
      </c>
      <c r="F601" s="173" t="s">
        <v>124</v>
      </c>
      <c r="G601" s="173"/>
      <c r="H601" s="173"/>
      <c r="I601" s="173"/>
      <c r="J601" s="175" t="str">
        <f t="shared" si="35"/>
        <v>Weathered Char     8204-16</v>
      </c>
      <c r="K601" s="174" t="s">
        <v>656</v>
      </c>
    </row>
    <row r="602" spans="1:11" x14ac:dyDescent="0.35">
      <c r="A602" s="209" t="s">
        <v>183</v>
      </c>
      <c r="B602" s="209" t="s">
        <v>184</v>
      </c>
      <c r="D602" t="s">
        <v>185</v>
      </c>
      <c r="F602" s="173" t="s">
        <v>134</v>
      </c>
      <c r="G602" s="173"/>
      <c r="H602" s="173"/>
      <c r="I602" s="173"/>
      <c r="J602" s="175" t="str">
        <f t="shared" si="35"/>
        <v>Neowalnut 7991-38</v>
      </c>
      <c r="K602" s="174" t="s">
        <v>657</v>
      </c>
    </row>
    <row r="603" spans="1:11" x14ac:dyDescent="0.35">
      <c r="A603" s="209" t="s">
        <v>188</v>
      </c>
      <c r="B603" s="209" t="s">
        <v>184</v>
      </c>
      <c r="D603" t="s">
        <v>189</v>
      </c>
      <c r="F603" s="173" t="s">
        <v>135</v>
      </c>
      <c r="G603" s="173"/>
      <c r="H603" s="173"/>
      <c r="I603" s="173"/>
      <c r="J603" s="175" t="str">
        <f t="shared" si="35"/>
        <v>Ebony Recon        7997-38</v>
      </c>
      <c r="K603" s="174" t="s">
        <v>658</v>
      </c>
    </row>
    <row r="604" spans="1:11" x14ac:dyDescent="0.35">
      <c r="A604" s="209" t="s">
        <v>192</v>
      </c>
      <c r="B604" s="209" t="s">
        <v>193</v>
      </c>
      <c r="D604" t="s">
        <v>194</v>
      </c>
      <c r="F604" s="173" t="s">
        <v>36</v>
      </c>
      <c r="G604" s="173"/>
      <c r="H604" s="173"/>
      <c r="I604" s="173"/>
      <c r="J604" s="175" t="str">
        <f t="shared" si="35"/>
        <v>Phantom Charcoal  8214-28</v>
      </c>
      <c r="K604" s="174" t="s">
        <v>659</v>
      </c>
    </row>
    <row r="605" spans="1:11" x14ac:dyDescent="0.35">
      <c r="A605" s="209" t="s">
        <v>197</v>
      </c>
      <c r="B605" s="209" t="s">
        <v>198</v>
      </c>
      <c r="D605" t="s">
        <v>199</v>
      </c>
      <c r="F605" s="173" t="s">
        <v>11</v>
      </c>
      <c r="G605" s="173"/>
      <c r="H605" s="173"/>
      <c r="I605" s="173"/>
      <c r="J605" s="175" t="str">
        <f t="shared" si="35"/>
        <v>Linen  D427-60</v>
      </c>
      <c r="K605" s="174" t="s">
        <v>660</v>
      </c>
    </row>
    <row r="606" spans="1:11" x14ac:dyDescent="0.35">
      <c r="A606" s="209" t="s">
        <v>202</v>
      </c>
      <c r="B606" s="209" t="s">
        <v>193</v>
      </c>
      <c r="D606" t="s">
        <v>203</v>
      </c>
      <c r="F606" s="173" t="s">
        <v>136</v>
      </c>
      <c r="G606" s="173"/>
      <c r="H606" s="173"/>
      <c r="I606" s="173"/>
      <c r="J606" s="175" t="str">
        <f t="shared" si="35"/>
        <v>Phantom Pearl      8211-28</v>
      </c>
      <c r="K606" s="174" t="s">
        <v>661</v>
      </c>
    </row>
    <row r="607" spans="1:11" x14ac:dyDescent="0.35">
      <c r="A607" s="209" t="s">
        <v>206</v>
      </c>
      <c r="B607" s="209" t="s">
        <v>193</v>
      </c>
      <c r="D607" t="s">
        <v>207</v>
      </c>
      <c r="F607" s="173" t="s">
        <v>125</v>
      </c>
      <c r="G607" s="173"/>
      <c r="H607" s="173"/>
      <c r="I607" s="173"/>
      <c r="J607" s="175" t="str">
        <f t="shared" si="35"/>
        <v>Veranda Teak        8209-28</v>
      </c>
      <c r="K607" s="174" t="s">
        <v>662</v>
      </c>
    </row>
    <row r="608" spans="1:11" x14ac:dyDescent="0.35">
      <c r="A608" s="209" t="s">
        <v>210</v>
      </c>
      <c r="B608" s="209" t="s">
        <v>175</v>
      </c>
      <c r="D608" t="s">
        <v>211</v>
      </c>
      <c r="F608" s="173" t="s">
        <v>126</v>
      </c>
      <c r="G608" s="173"/>
      <c r="H608" s="173"/>
      <c r="I608" s="173"/>
      <c r="J608" s="175" t="str">
        <f t="shared" si="35"/>
        <v>Branded Oak         8207-16</v>
      </c>
      <c r="K608" s="174" t="s">
        <v>663</v>
      </c>
    </row>
    <row r="609" spans="1:11" x14ac:dyDescent="0.35">
      <c r="A609" s="209" t="s">
        <v>214</v>
      </c>
      <c r="B609" s="209" t="s">
        <v>175</v>
      </c>
      <c r="D609" t="s">
        <v>215</v>
      </c>
      <c r="F609" s="173" t="s">
        <v>127</v>
      </c>
      <c r="G609" s="173"/>
      <c r="H609" s="173"/>
      <c r="I609" s="173"/>
      <c r="J609" s="175" t="str">
        <f t="shared" si="35"/>
        <v>Saddle Oak           8206-16</v>
      </c>
      <c r="K609" s="174" t="s">
        <v>664</v>
      </c>
    </row>
    <row r="610" spans="1:11" x14ac:dyDescent="0.35">
      <c r="A610" s="209" t="s">
        <v>218</v>
      </c>
      <c r="B610" s="209" t="s">
        <v>193</v>
      </c>
      <c r="D610" t="s">
        <v>219</v>
      </c>
      <c r="F610" s="173" t="s">
        <v>129</v>
      </c>
      <c r="G610" s="173"/>
      <c r="H610" s="173"/>
      <c r="I610" s="173"/>
      <c r="J610" s="175" t="str">
        <f t="shared" si="35"/>
        <v>Phantom Ecru       8212-28</v>
      </c>
      <c r="K610" s="174" t="s">
        <v>665</v>
      </c>
    </row>
    <row r="611" spans="1:11" x14ac:dyDescent="0.35">
      <c r="A611" s="209" t="s">
        <v>222</v>
      </c>
      <c r="B611" s="209" t="s">
        <v>175</v>
      </c>
      <c r="D611" t="s">
        <v>223</v>
      </c>
      <c r="F611" s="173" t="s">
        <v>128</v>
      </c>
      <c r="G611" s="173"/>
      <c r="H611" s="173"/>
      <c r="I611" s="173"/>
      <c r="J611" s="175" t="str">
        <f t="shared" si="35"/>
        <v>Fawn Cypress       8208-16</v>
      </c>
      <c r="K611" s="174" t="s">
        <v>666</v>
      </c>
    </row>
    <row r="612" spans="1:11" x14ac:dyDescent="0.35">
      <c r="A612" s="209" t="s">
        <v>226</v>
      </c>
      <c r="B612" s="209" t="s">
        <v>184</v>
      </c>
      <c r="D612" t="s">
        <v>227</v>
      </c>
      <c r="F612" s="173" t="s">
        <v>130</v>
      </c>
      <c r="G612" s="173"/>
      <c r="H612" s="173"/>
      <c r="I612" s="173"/>
      <c r="J612" s="175" t="str">
        <f t="shared" si="35"/>
        <v>River Cherry          7937-38</v>
      </c>
      <c r="K612" s="174" t="s">
        <v>667</v>
      </c>
    </row>
    <row r="613" spans="1:11" x14ac:dyDescent="0.35">
      <c r="A613" s="209" t="s">
        <v>1183</v>
      </c>
      <c r="B613" s="209" t="s">
        <v>1184</v>
      </c>
      <c r="D613" s="210" t="s">
        <v>1185</v>
      </c>
      <c r="F613" s="211" t="s">
        <v>1201</v>
      </c>
      <c r="G613" s="173"/>
      <c r="H613" s="173"/>
      <c r="I613" s="173"/>
      <c r="J613" s="175" t="str">
        <f t="shared" ref="J613:J619" si="36">CONCATENATE(I613,G613,H613,F613)</f>
        <v>Akira                     8233-05</v>
      </c>
      <c r="K613" s="174" t="s">
        <v>1321</v>
      </c>
    </row>
    <row r="614" spans="1:11" x14ac:dyDescent="0.35">
      <c r="A614" s="209" t="s">
        <v>1186</v>
      </c>
      <c r="B614" s="209" t="s">
        <v>1184</v>
      </c>
      <c r="D614" s="210" t="s">
        <v>1187</v>
      </c>
      <c r="F614" s="211" t="s">
        <v>1200</v>
      </c>
      <c r="G614" s="173"/>
      <c r="H614" s="173"/>
      <c r="I614" s="173"/>
      <c r="J614" s="175" t="str">
        <f t="shared" si="36"/>
        <v>Belair                    8234-05</v>
      </c>
      <c r="K614" s="174" t="s">
        <v>1322</v>
      </c>
    </row>
    <row r="615" spans="1:11" x14ac:dyDescent="0.35">
      <c r="A615" s="209" t="s">
        <v>1188</v>
      </c>
      <c r="B615" s="209" t="s">
        <v>1184</v>
      </c>
      <c r="D615" s="210" t="s">
        <v>1189</v>
      </c>
      <c r="F615" s="211" t="s">
        <v>1198</v>
      </c>
      <c r="G615" s="173"/>
      <c r="H615" s="173"/>
      <c r="I615" s="173"/>
      <c r="J615" s="175" t="str">
        <f t="shared" si="36"/>
        <v>Daintree               8235-05</v>
      </c>
      <c r="K615" s="174" t="s">
        <v>1323</v>
      </c>
    </row>
    <row r="616" spans="1:11" x14ac:dyDescent="0.35">
      <c r="A616" s="209" t="s">
        <v>1190</v>
      </c>
      <c r="B616" s="209" t="s">
        <v>1184</v>
      </c>
      <c r="D616" s="210" t="s">
        <v>1191</v>
      </c>
      <c r="F616" s="211" t="s">
        <v>1199</v>
      </c>
      <c r="G616" s="173"/>
      <c r="H616" s="173"/>
      <c r="I616" s="173"/>
      <c r="J616" s="175" t="str">
        <f t="shared" si="36"/>
        <v>Monteverdi          8236-05</v>
      </c>
      <c r="K616" s="174" t="s">
        <v>1324</v>
      </c>
    </row>
    <row r="617" spans="1:11" x14ac:dyDescent="0.35">
      <c r="A617" s="209" t="s">
        <v>1192</v>
      </c>
      <c r="B617" s="209" t="s">
        <v>1184</v>
      </c>
      <c r="D617" s="210" t="s">
        <v>1193</v>
      </c>
      <c r="F617" s="211" t="s">
        <v>1202</v>
      </c>
      <c r="G617" s="173"/>
      <c r="H617" s="173"/>
      <c r="I617" s="173"/>
      <c r="J617" s="175" t="str">
        <f t="shared" si="36"/>
        <v>Great Bear           8237-05</v>
      </c>
      <c r="K617" s="174" t="s">
        <v>1325</v>
      </c>
    </row>
    <row r="618" spans="1:11" x14ac:dyDescent="0.35">
      <c r="A618" s="209" t="s">
        <v>1194</v>
      </c>
      <c r="B618" s="209" t="s">
        <v>1184</v>
      </c>
      <c r="D618" s="210" t="s">
        <v>1195</v>
      </c>
      <c r="F618" s="211" t="s">
        <v>1203</v>
      </c>
      <c r="G618" s="173"/>
      <c r="H618" s="173"/>
      <c r="I618" s="173"/>
      <c r="J618" s="175" t="str">
        <f t="shared" si="36"/>
        <v>Fairchild               8238-05</v>
      </c>
      <c r="K618" s="174" t="s">
        <v>1326</v>
      </c>
    </row>
    <row r="619" spans="1:11" x14ac:dyDescent="0.35">
      <c r="A619" s="209" t="s">
        <v>1196</v>
      </c>
      <c r="B619" s="209" t="s">
        <v>198</v>
      </c>
      <c r="D619" s="210" t="s">
        <v>1197</v>
      </c>
      <c r="F619" s="211" t="s">
        <v>1204</v>
      </c>
      <c r="G619" s="173"/>
      <c r="H619" s="173"/>
      <c r="I619" s="173"/>
      <c r="J619" s="175" t="str">
        <f t="shared" si="36"/>
        <v>Indigo                   D379-60</v>
      </c>
      <c r="K619" s="174" t="s">
        <v>1327</v>
      </c>
    </row>
    <row r="620" spans="1:11" x14ac:dyDescent="0.35">
      <c r="A620" s="209" t="s">
        <v>230</v>
      </c>
      <c r="B620" s="209" t="s">
        <v>165</v>
      </c>
      <c r="D620" t="s">
        <v>231</v>
      </c>
      <c r="F620" s="173" t="s">
        <v>12</v>
      </c>
      <c r="G620" s="173"/>
      <c r="H620" s="173"/>
      <c r="I620" s="173"/>
      <c r="J620" s="175" t="str">
        <f t="shared" si="35"/>
        <v>Columbian Walnut  7943-07</v>
      </c>
      <c r="K620" s="174" t="s">
        <v>668</v>
      </c>
    </row>
    <row r="621" spans="1:11" x14ac:dyDescent="0.35">
      <c r="A621" s="209" t="s">
        <v>234</v>
      </c>
      <c r="B621" s="209" t="s">
        <v>184</v>
      </c>
      <c r="D621" t="s">
        <v>235</v>
      </c>
      <c r="F621" s="173" t="s">
        <v>131</v>
      </c>
      <c r="G621" s="173"/>
      <c r="H621" s="173"/>
      <c r="I621" s="173"/>
      <c r="J621" s="175" t="str">
        <f t="shared" si="35"/>
        <v>Florence Walnut    7993-38</v>
      </c>
      <c r="K621" s="174" t="s">
        <v>669</v>
      </c>
    </row>
    <row r="622" spans="1:11" x14ac:dyDescent="0.35">
      <c r="A622" s="209" t="s">
        <v>164</v>
      </c>
      <c r="B622" s="209" t="s">
        <v>165</v>
      </c>
      <c r="D622" t="s">
        <v>167</v>
      </c>
      <c r="F622" s="173" t="s">
        <v>132</v>
      </c>
      <c r="G622" s="173"/>
      <c r="H622" s="173"/>
      <c r="I622" s="173"/>
      <c r="J622" s="175" t="str">
        <f t="shared" si="35"/>
        <v>Shaker Cherry       7935-07</v>
      </c>
      <c r="K622" s="174" t="s">
        <v>653</v>
      </c>
    </row>
    <row r="623" spans="1:11" x14ac:dyDescent="0.35">
      <c r="A623" s="209" t="s">
        <v>170</v>
      </c>
      <c r="B623" s="209" t="s">
        <v>165</v>
      </c>
      <c r="D623" t="s">
        <v>171</v>
      </c>
      <c r="F623" s="173" t="s">
        <v>133</v>
      </c>
      <c r="G623" s="173"/>
      <c r="H623" s="173"/>
      <c r="I623" s="173"/>
      <c r="J623" s="175" t="str">
        <f t="shared" si="35"/>
        <v>Cafelle 7933-07</v>
      </c>
      <c r="K623" s="174" t="s">
        <v>654</v>
      </c>
    </row>
    <row r="624" spans="1:11" x14ac:dyDescent="0.35">
      <c r="A624" s="209" t="s">
        <v>174</v>
      </c>
      <c r="B624" s="209" t="s">
        <v>175</v>
      </c>
      <c r="D624" t="s">
        <v>176</v>
      </c>
      <c r="F624" s="173" t="s">
        <v>123</v>
      </c>
      <c r="G624" s="173"/>
      <c r="H624" s="173"/>
      <c r="I624" s="173"/>
      <c r="J624" s="175" t="str">
        <f t="shared" si="35"/>
        <v>White Driftwood      8200-16</v>
      </c>
      <c r="K624" s="174" t="s">
        <v>655</v>
      </c>
    </row>
    <row r="625" spans="1:12" x14ac:dyDescent="0.35">
      <c r="A625" s="209" t="s">
        <v>179</v>
      </c>
      <c r="B625" s="209" t="s">
        <v>175</v>
      </c>
      <c r="D625" t="s">
        <v>180</v>
      </c>
      <c r="F625" s="173" t="s">
        <v>124</v>
      </c>
      <c r="G625" s="173"/>
      <c r="H625" s="173"/>
      <c r="I625" s="173"/>
      <c r="J625" s="175" t="str">
        <f t="shared" si="35"/>
        <v>Weathered Char     8204-16</v>
      </c>
      <c r="K625" s="174" t="s">
        <v>656</v>
      </c>
    </row>
    <row r="626" spans="1:12" x14ac:dyDescent="0.35">
      <c r="A626" s="209" t="s">
        <v>183</v>
      </c>
      <c r="B626" s="209" t="s">
        <v>184</v>
      </c>
      <c r="D626" t="s">
        <v>185</v>
      </c>
      <c r="F626" s="173" t="s">
        <v>134</v>
      </c>
      <c r="G626" s="173"/>
      <c r="H626" s="173"/>
      <c r="I626" s="173"/>
      <c r="J626" s="175" t="str">
        <f t="shared" si="35"/>
        <v>Neowalnut 7991-38</v>
      </c>
      <c r="K626" s="174" t="s">
        <v>657</v>
      </c>
    </row>
    <row r="627" spans="1:12" x14ac:dyDescent="0.35">
      <c r="A627" s="209" t="s">
        <v>188</v>
      </c>
      <c r="B627" s="209" t="s">
        <v>184</v>
      </c>
      <c r="D627" t="s">
        <v>189</v>
      </c>
      <c r="F627" s="173" t="s">
        <v>135</v>
      </c>
      <c r="G627" s="173"/>
      <c r="H627" s="173"/>
      <c r="I627" s="173"/>
      <c r="J627" s="175" t="str">
        <f t="shared" si="35"/>
        <v>Ebony Recon        7997-38</v>
      </c>
      <c r="K627" s="174" t="s">
        <v>658</v>
      </c>
    </row>
    <row r="628" spans="1:12" x14ac:dyDescent="0.35">
      <c r="A628" s="209" t="s">
        <v>192</v>
      </c>
      <c r="B628" s="209" t="s">
        <v>193</v>
      </c>
      <c r="D628" t="s">
        <v>194</v>
      </c>
      <c r="F628" s="173" t="s">
        <v>36</v>
      </c>
      <c r="G628" s="173"/>
      <c r="H628" s="173"/>
      <c r="I628" s="173"/>
      <c r="J628" s="175" t="str">
        <f t="shared" si="35"/>
        <v>Phantom Charcoal  8214-28</v>
      </c>
      <c r="K628" s="174" t="s">
        <v>659</v>
      </c>
    </row>
    <row r="629" spans="1:12" x14ac:dyDescent="0.35">
      <c r="A629" s="209" t="s">
        <v>197</v>
      </c>
      <c r="B629" s="209" t="s">
        <v>198</v>
      </c>
      <c r="D629" t="s">
        <v>199</v>
      </c>
      <c r="F629" s="173" t="s">
        <v>11</v>
      </c>
      <c r="G629" s="173"/>
      <c r="H629" s="173"/>
      <c r="I629" s="173"/>
      <c r="J629" s="175" t="str">
        <f t="shared" si="35"/>
        <v>Linen  D427-60</v>
      </c>
      <c r="K629" s="174" t="s">
        <v>660</v>
      </c>
    </row>
    <row r="630" spans="1:12" x14ac:dyDescent="0.35">
      <c r="A630" s="209" t="s">
        <v>202</v>
      </c>
      <c r="B630" s="209" t="s">
        <v>193</v>
      </c>
      <c r="D630" t="s">
        <v>203</v>
      </c>
      <c r="F630" s="173" t="s">
        <v>136</v>
      </c>
      <c r="G630" s="173"/>
      <c r="H630" s="173"/>
      <c r="I630" s="173"/>
      <c r="J630" s="175" t="str">
        <f t="shared" si="35"/>
        <v>Phantom Pearl      8211-28</v>
      </c>
      <c r="K630" s="174" t="s">
        <v>661</v>
      </c>
    </row>
    <row r="631" spans="1:12" x14ac:dyDescent="0.35">
      <c r="A631" s="209" t="s">
        <v>206</v>
      </c>
      <c r="B631" s="209" t="s">
        <v>193</v>
      </c>
      <c r="D631" t="s">
        <v>207</v>
      </c>
      <c r="F631" s="173" t="s">
        <v>125</v>
      </c>
      <c r="G631" s="173"/>
      <c r="H631" s="173"/>
      <c r="I631" s="173"/>
      <c r="J631" s="175" t="str">
        <f t="shared" si="35"/>
        <v>Veranda Teak        8209-28</v>
      </c>
      <c r="K631" s="174" t="s">
        <v>662</v>
      </c>
    </row>
    <row r="632" spans="1:12" x14ac:dyDescent="0.35">
      <c r="A632" s="209" t="s">
        <v>210</v>
      </c>
      <c r="B632" s="209" t="s">
        <v>175</v>
      </c>
      <c r="D632" t="s">
        <v>211</v>
      </c>
      <c r="F632" s="173" t="s">
        <v>126</v>
      </c>
      <c r="G632" s="173"/>
      <c r="H632" s="173"/>
      <c r="I632" s="173"/>
      <c r="J632" s="175" t="str">
        <f t="shared" si="35"/>
        <v>Branded Oak         8207-16</v>
      </c>
      <c r="K632" s="174" t="s">
        <v>663</v>
      </c>
    </row>
    <row r="633" spans="1:12" x14ac:dyDescent="0.35">
      <c r="A633" s="209" t="s">
        <v>214</v>
      </c>
      <c r="B633" s="209" t="s">
        <v>175</v>
      </c>
      <c r="D633" t="s">
        <v>215</v>
      </c>
      <c r="F633" s="173" t="s">
        <v>127</v>
      </c>
      <c r="G633" s="173"/>
      <c r="H633" s="173"/>
      <c r="I633" s="173"/>
      <c r="J633" s="175" t="str">
        <f t="shared" si="35"/>
        <v>Saddle Oak           8206-16</v>
      </c>
      <c r="K633" s="174" t="s">
        <v>664</v>
      </c>
    </row>
    <row r="634" spans="1:12" x14ac:dyDescent="0.35">
      <c r="A634" s="209" t="s">
        <v>218</v>
      </c>
      <c r="B634" s="209" t="s">
        <v>193</v>
      </c>
      <c r="D634" t="s">
        <v>219</v>
      </c>
      <c r="F634" s="173" t="s">
        <v>129</v>
      </c>
      <c r="G634" s="173"/>
      <c r="H634" s="173"/>
      <c r="I634" s="173"/>
      <c r="J634" s="175" t="str">
        <f t="shared" si="35"/>
        <v>Phantom Ecru       8212-28</v>
      </c>
      <c r="K634" s="174" t="s">
        <v>665</v>
      </c>
    </row>
    <row r="635" spans="1:12" x14ac:dyDescent="0.35">
      <c r="A635" s="209" t="s">
        <v>222</v>
      </c>
      <c r="B635" s="209" t="s">
        <v>175</v>
      </c>
      <c r="D635" t="s">
        <v>223</v>
      </c>
      <c r="F635" s="173" t="s">
        <v>128</v>
      </c>
      <c r="G635" s="173"/>
      <c r="H635" s="173"/>
      <c r="I635" s="173"/>
      <c r="J635" s="175" t="str">
        <f t="shared" si="35"/>
        <v>Fawn Cypress       8208-16</v>
      </c>
      <c r="K635" s="174" t="s">
        <v>666</v>
      </c>
    </row>
    <row r="636" spans="1:12" x14ac:dyDescent="0.35">
      <c r="A636" s="209" t="s">
        <v>226</v>
      </c>
      <c r="B636" s="209" t="s">
        <v>184</v>
      </c>
      <c r="D636" t="s">
        <v>227</v>
      </c>
      <c r="F636" s="173" t="s">
        <v>130</v>
      </c>
      <c r="G636" s="173"/>
      <c r="H636" s="173"/>
      <c r="I636" s="173"/>
      <c r="J636" s="175" t="str">
        <f t="shared" si="35"/>
        <v>River Cherry          7937-38</v>
      </c>
      <c r="K636" s="174" t="s">
        <v>667</v>
      </c>
    </row>
    <row r="637" spans="1:12" x14ac:dyDescent="0.35">
      <c r="A637" s="209" t="s">
        <v>230</v>
      </c>
      <c r="B637" s="209" t="s">
        <v>165</v>
      </c>
      <c r="D637" t="s">
        <v>231</v>
      </c>
      <c r="F637" s="173" t="s">
        <v>12</v>
      </c>
      <c r="G637" s="173"/>
      <c r="H637" s="173"/>
      <c r="I637" s="173"/>
      <c r="J637" s="175" t="str">
        <f t="shared" si="35"/>
        <v>Columbian Walnut  7943-07</v>
      </c>
      <c r="K637" s="174" t="s">
        <v>668</v>
      </c>
    </row>
    <row r="638" spans="1:12" x14ac:dyDescent="0.35">
      <c r="A638" s="209" t="s">
        <v>234</v>
      </c>
      <c r="B638" s="209" t="s">
        <v>184</v>
      </c>
      <c r="D638" t="s">
        <v>235</v>
      </c>
      <c r="F638" s="173" t="s">
        <v>131</v>
      </c>
      <c r="G638" s="173"/>
      <c r="H638" s="173"/>
      <c r="I638" s="173"/>
      <c r="J638" s="175" t="str">
        <f t="shared" si="35"/>
        <v>Florence Walnut    7993-38</v>
      </c>
      <c r="K638" s="174" t="s">
        <v>669</v>
      </c>
    </row>
    <row r="639" spans="1:12" x14ac:dyDescent="0.35">
      <c r="A639" s="178"/>
      <c r="B639" s="178"/>
    </row>
    <row r="640" spans="1:12" x14ac:dyDescent="0.35">
      <c r="A640" s="209" t="s">
        <v>155</v>
      </c>
      <c r="B640" s="209" t="s">
        <v>156</v>
      </c>
      <c r="C640" t="s">
        <v>676</v>
      </c>
      <c r="D640" t="s">
        <v>158</v>
      </c>
      <c r="F640" t="s">
        <v>678</v>
      </c>
      <c r="I640" t="s">
        <v>6</v>
      </c>
      <c r="J640" s="175" t="s">
        <v>670</v>
      </c>
      <c r="K640" t="s">
        <v>679</v>
      </c>
      <c r="L640" t="s">
        <v>154</v>
      </c>
    </row>
    <row r="641" spans="1:16" x14ac:dyDescent="0.35">
      <c r="A641" s="209" t="s">
        <v>164</v>
      </c>
      <c r="B641" s="209" t="s">
        <v>165</v>
      </c>
      <c r="C641" t="s">
        <v>677</v>
      </c>
      <c r="D641" t="s">
        <v>167</v>
      </c>
      <c r="F641" t="s">
        <v>132</v>
      </c>
      <c r="I641" t="s">
        <v>80</v>
      </c>
      <c r="J641" s="175" t="str">
        <f>CONCATENATE(I641,F641)</f>
        <v>Baseboard 4873Shaker Cherry       7935-07</v>
      </c>
      <c r="K641" t="s">
        <v>680</v>
      </c>
      <c r="L641" t="s">
        <v>765</v>
      </c>
    </row>
    <row r="642" spans="1:16" x14ac:dyDescent="0.35">
      <c r="A642" s="209" t="s">
        <v>170</v>
      </c>
      <c r="B642" s="209" t="s">
        <v>165</v>
      </c>
      <c r="C642" t="s">
        <v>677</v>
      </c>
      <c r="D642" t="s">
        <v>171</v>
      </c>
      <c r="F642" t="s">
        <v>133</v>
      </c>
      <c r="I642" t="s">
        <v>80</v>
      </c>
      <c r="J642" s="175" t="str">
        <f t="shared" ref="J642:J759" si="37">CONCATENATE(I642,F642)</f>
        <v>Baseboard 4873Cafelle 7933-07</v>
      </c>
      <c r="K642" t="s">
        <v>681</v>
      </c>
      <c r="L642" t="s">
        <v>766</v>
      </c>
    </row>
    <row r="643" spans="1:16" x14ac:dyDescent="0.35">
      <c r="A643" s="209" t="s">
        <v>174</v>
      </c>
      <c r="B643" s="209" t="s">
        <v>175</v>
      </c>
      <c r="C643" t="s">
        <v>677</v>
      </c>
      <c r="D643" t="s">
        <v>176</v>
      </c>
      <c r="F643" t="s">
        <v>123</v>
      </c>
      <c r="I643" t="s">
        <v>80</v>
      </c>
      <c r="J643" s="175" t="str">
        <f t="shared" si="37"/>
        <v>Baseboard 4873White Driftwood      8200-16</v>
      </c>
      <c r="K643" t="s">
        <v>682</v>
      </c>
      <c r="L643" t="s">
        <v>767</v>
      </c>
    </row>
    <row r="644" spans="1:16" x14ac:dyDescent="0.35">
      <c r="A644" s="209" t="s">
        <v>179</v>
      </c>
      <c r="B644" s="209" t="s">
        <v>175</v>
      </c>
      <c r="C644" t="s">
        <v>677</v>
      </c>
      <c r="D644" t="s">
        <v>180</v>
      </c>
      <c r="F644" t="s">
        <v>124</v>
      </c>
      <c r="I644" t="s">
        <v>80</v>
      </c>
      <c r="J644" s="175" t="str">
        <f t="shared" si="37"/>
        <v>Baseboard 4873Weathered Char     8204-16</v>
      </c>
      <c r="K644" t="s">
        <v>683</v>
      </c>
      <c r="L644" t="s">
        <v>768</v>
      </c>
    </row>
    <row r="645" spans="1:16" x14ac:dyDescent="0.35">
      <c r="A645" s="209" t="s">
        <v>183</v>
      </c>
      <c r="B645" s="209" t="s">
        <v>184</v>
      </c>
      <c r="C645" t="s">
        <v>677</v>
      </c>
      <c r="D645" t="s">
        <v>185</v>
      </c>
      <c r="F645" t="s">
        <v>134</v>
      </c>
      <c r="I645" t="s">
        <v>80</v>
      </c>
      <c r="J645" s="175" t="str">
        <f t="shared" si="37"/>
        <v>Baseboard 4873Neowalnut 7991-38</v>
      </c>
      <c r="K645" t="s">
        <v>684</v>
      </c>
      <c r="L645" t="s">
        <v>769</v>
      </c>
    </row>
    <row r="646" spans="1:16" x14ac:dyDescent="0.35">
      <c r="A646" s="209" t="s">
        <v>188</v>
      </c>
      <c r="B646" s="209" t="s">
        <v>184</v>
      </c>
      <c r="C646" t="s">
        <v>677</v>
      </c>
      <c r="D646" t="s">
        <v>189</v>
      </c>
      <c r="F646" t="s">
        <v>135</v>
      </c>
      <c r="I646" t="s">
        <v>80</v>
      </c>
      <c r="J646" s="175" t="str">
        <f t="shared" si="37"/>
        <v>Baseboard 4873Ebony Recon        7997-38</v>
      </c>
      <c r="K646" t="s">
        <v>685</v>
      </c>
      <c r="L646" t="s">
        <v>770</v>
      </c>
    </row>
    <row r="647" spans="1:16" x14ac:dyDescent="0.35">
      <c r="A647" s="209" t="s">
        <v>192</v>
      </c>
      <c r="B647" s="209" t="s">
        <v>193</v>
      </c>
      <c r="C647" t="s">
        <v>677</v>
      </c>
      <c r="D647" t="s">
        <v>194</v>
      </c>
      <c r="F647" t="s">
        <v>36</v>
      </c>
      <c r="I647" t="s">
        <v>80</v>
      </c>
      <c r="J647" s="175" t="str">
        <f t="shared" si="37"/>
        <v>Baseboard 4873Phantom Charcoal  8214-28</v>
      </c>
      <c r="K647" t="s">
        <v>686</v>
      </c>
      <c r="L647" t="s">
        <v>771</v>
      </c>
    </row>
    <row r="648" spans="1:16" ht="15.5" x14ac:dyDescent="0.35">
      <c r="A648" s="209" t="s">
        <v>197</v>
      </c>
      <c r="B648" s="209" t="s">
        <v>198</v>
      </c>
      <c r="C648" t="s">
        <v>677</v>
      </c>
      <c r="D648" t="s">
        <v>199</v>
      </c>
      <c r="F648" t="s">
        <v>11</v>
      </c>
      <c r="I648" t="s">
        <v>80</v>
      </c>
      <c r="J648" s="175" t="str">
        <f t="shared" si="37"/>
        <v>Baseboard 4873Linen  D427-60</v>
      </c>
      <c r="K648" t="s">
        <v>687</v>
      </c>
      <c r="L648" t="s">
        <v>772</v>
      </c>
      <c r="P648" s="207" t="s">
        <v>860</v>
      </c>
    </row>
    <row r="649" spans="1:16" x14ac:dyDescent="0.35">
      <c r="A649" s="209" t="s">
        <v>202</v>
      </c>
      <c r="B649" s="209" t="s">
        <v>193</v>
      </c>
      <c r="C649" t="s">
        <v>677</v>
      </c>
      <c r="D649" t="s">
        <v>203</v>
      </c>
      <c r="F649" t="s">
        <v>136</v>
      </c>
      <c r="I649" t="s">
        <v>80</v>
      </c>
      <c r="J649" s="175" t="str">
        <f t="shared" si="37"/>
        <v>Baseboard 4873Phantom Pearl      8211-28</v>
      </c>
      <c r="K649" t="s">
        <v>688</v>
      </c>
      <c r="L649" t="s">
        <v>773</v>
      </c>
    </row>
    <row r="650" spans="1:16" x14ac:dyDescent="0.35">
      <c r="A650" s="209" t="s">
        <v>206</v>
      </c>
      <c r="B650" s="209" t="s">
        <v>193</v>
      </c>
      <c r="C650" t="s">
        <v>677</v>
      </c>
      <c r="D650" t="s">
        <v>207</v>
      </c>
      <c r="F650" t="s">
        <v>125</v>
      </c>
      <c r="I650" t="s">
        <v>80</v>
      </c>
      <c r="J650" s="175" t="str">
        <f t="shared" si="37"/>
        <v>Baseboard 4873Veranda Teak        8209-28</v>
      </c>
      <c r="K650" t="s">
        <v>689</v>
      </c>
      <c r="L650" t="s">
        <v>774</v>
      </c>
    </row>
    <row r="651" spans="1:16" x14ac:dyDescent="0.35">
      <c r="A651" s="209" t="s">
        <v>210</v>
      </c>
      <c r="B651" s="209" t="s">
        <v>175</v>
      </c>
      <c r="C651" t="s">
        <v>677</v>
      </c>
      <c r="D651" t="s">
        <v>211</v>
      </c>
      <c r="F651" t="s">
        <v>126</v>
      </c>
      <c r="I651" t="s">
        <v>80</v>
      </c>
      <c r="J651" s="175" t="str">
        <f t="shared" si="37"/>
        <v>Baseboard 4873Branded Oak         8207-16</v>
      </c>
      <c r="K651" t="s">
        <v>690</v>
      </c>
      <c r="L651" t="s">
        <v>775</v>
      </c>
    </row>
    <row r="652" spans="1:16" x14ac:dyDescent="0.35">
      <c r="A652" s="209" t="s">
        <v>214</v>
      </c>
      <c r="B652" s="209" t="s">
        <v>175</v>
      </c>
      <c r="C652" t="s">
        <v>677</v>
      </c>
      <c r="D652" t="s">
        <v>215</v>
      </c>
      <c r="F652" t="s">
        <v>127</v>
      </c>
      <c r="I652" t="s">
        <v>80</v>
      </c>
      <c r="J652" s="175" t="str">
        <f t="shared" si="37"/>
        <v>Baseboard 4873Saddle Oak           8206-16</v>
      </c>
      <c r="K652" t="s">
        <v>691</v>
      </c>
      <c r="L652" t="s">
        <v>776</v>
      </c>
    </row>
    <row r="653" spans="1:16" x14ac:dyDescent="0.35">
      <c r="A653" s="209" t="s">
        <v>218</v>
      </c>
      <c r="B653" s="209" t="s">
        <v>193</v>
      </c>
      <c r="C653" t="s">
        <v>677</v>
      </c>
      <c r="D653" t="s">
        <v>219</v>
      </c>
      <c r="F653" t="s">
        <v>129</v>
      </c>
      <c r="I653" t="s">
        <v>80</v>
      </c>
      <c r="J653" s="175" t="str">
        <f t="shared" si="37"/>
        <v>Baseboard 4873Phantom Ecru       8212-28</v>
      </c>
      <c r="K653" t="s">
        <v>692</v>
      </c>
      <c r="L653" t="s">
        <v>777</v>
      </c>
    </row>
    <row r="654" spans="1:16" x14ac:dyDescent="0.35">
      <c r="A654" s="209" t="s">
        <v>222</v>
      </c>
      <c r="B654" s="209" t="s">
        <v>175</v>
      </c>
      <c r="C654" t="s">
        <v>677</v>
      </c>
      <c r="D654" t="s">
        <v>223</v>
      </c>
      <c r="F654" t="s">
        <v>128</v>
      </c>
      <c r="I654" t="s">
        <v>80</v>
      </c>
      <c r="J654" s="175" t="str">
        <f t="shared" si="37"/>
        <v>Baseboard 4873Fawn Cypress       8208-16</v>
      </c>
      <c r="K654" t="s">
        <v>693</v>
      </c>
      <c r="L654" t="s">
        <v>778</v>
      </c>
    </row>
    <row r="655" spans="1:16" x14ac:dyDescent="0.35">
      <c r="A655" s="209" t="s">
        <v>226</v>
      </c>
      <c r="B655" s="209" t="s">
        <v>184</v>
      </c>
      <c r="C655" t="s">
        <v>677</v>
      </c>
      <c r="D655" t="s">
        <v>227</v>
      </c>
      <c r="F655" t="s">
        <v>130</v>
      </c>
      <c r="I655" t="s">
        <v>80</v>
      </c>
      <c r="J655" s="175" t="str">
        <f t="shared" si="37"/>
        <v>Baseboard 4873River Cherry          7937-38</v>
      </c>
      <c r="K655" t="s">
        <v>694</v>
      </c>
      <c r="L655" t="s">
        <v>779</v>
      </c>
    </row>
    <row r="656" spans="1:16" x14ac:dyDescent="0.35">
      <c r="A656" s="209" t="s">
        <v>1183</v>
      </c>
      <c r="B656" s="209" t="s">
        <v>1184</v>
      </c>
      <c r="C656" t="s">
        <v>677</v>
      </c>
      <c r="D656" s="210" t="s">
        <v>1185</v>
      </c>
      <c r="F656" s="211" t="s">
        <v>1201</v>
      </c>
      <c r="I656" t="s">
        <v>80</v>
      </c>
      <c r="J656" s="175" t="str">
        <f t="shared" ref="J656:J662" si="38">CONCATENATE(I656,F656)</f>
        <v>Baseboard 4873Akira                     8233-05</v>
      </c>
      <c r="K656" t="s">
        <v>1328</v>
      </c>
    </row>
    <row r="657" spans="1:11" x14ac:dyDescent="0.35">
      <c r="A657" s="209" t="s">
        <v>1186</v>
      </c>
      <c r="B657" s="209" t="s">
        <v>1184</v>
      </c>
      <c r="C657" t="s">
        <v>677</v>
      </c>
      <c r="D657" s="210" t="s">
        <v>1187</v>
      </c>
      <c r="F657" s="211" t="s">
        <v>1200</v>
      </c>
      <c r="I657" t="s">
        <v>80</v>
      </c>
      <c r="J657" s="175" t="str">
        <f t="shared" si="38"/>
        <v>Baseboard 4873Belair                    8234-05</v>
      </c>
      <c r="K657" t="s">
        <v>1329</v>
      </c>
    </row>
    <row r="658" spans="1:11" x14ac:dyDescent="0.35">
      <c r="A658" s="209" t="s">
        <v>1188</v>
      </c>
      <c r="B658" s="209" t="s">
        <v>1184</v>
      </c>
      <c r="C658" t="s">
        <v>677</v>
      </c>
      <c r="D658" s="210" t="s">
        <v>1189</v>
      </c>
      <c r="F658" s="211" t="s">
        <v>1198</v>
      </c>
      <c r="I658" t="s">
        <v>80</v>
      </c>
      <c r="J658" s="175" t="str">
        <f t="shared" si="38"/>
        <v>Baseboard 4873Daintree               8235-05</v>
      </c>
      <c r="K658" t="s">
        <v>1330</v>
      </c>
    </row>
    <row r="659" spans="1:11" x14ac:dyDescent="0.35">
      <c r="A659" s="209" t="s">
        <v>1190</v>
      </c>
      <c r="B659" s="209" t="s">
        <v>1184</v>
      </c>
      <c r="C659" t="s">
        <v>677</v>
      </c>
      <c r="D659" s="210" t="s">
        <v>1191</v>
      </c>
      <c r="F659" s="211" t="s">
        <v>1199</v>
      </c>
      <c r="I659" t="s">
        <v>80</v>
      </c>
      <c r="J659" s="175" t="str">
        <f t="shared" si="38"/>
        <v>Baseboard 4873Monteverdi          8236-05</v>
      </c>
      <c r="K659" t="s">
        <v>1331</v>
      </c>
    </row>
    <row r="660" spans="1:11" x14ac:dyDescent="0.35">
      <c r="A660" s="209" t="s">
        <v>1192</v>
      </c>
      <c r="B660" s="209" t="s">
        <v>1184</v>
      </c>
      <c r="C660" t="s">
        <v>677</v>
      </c>
      <c r="D660" s="210" t="s">
        <v>1193</v>
      </c>
      <c r="F660" s="211" t="s">
        <v>1202</v>
      </c>
      <c r="I660" t="s">
        <v>80</v>
      </c>
      <c r="J660" s="175" t="str">
        <f t="shared" si="38"/>
        <v>Baseboard 4873Great Bear           8237-05</v>
      </c>
      <c r="K660" t="s">
        <v>1332</v>
      </c>
    </row>
    <row r="661" spans="1:11" x14ac:dyDescent="0.35">
      <c r="A661" s="209" t="s">
        <v>1194</v>
      </c>
      <c r="B661" s="209" t="s">
        <v>1184</v>
      </c>
      <c r="C661" t="s">
        <v>677</v>
      </c>
      <c r="D661" s="210" t="s">
        <v>1195</v>
      </c>
      <c r="F661" s="211" t="s">
        <v>1203</v>
      </c>
      <c r="I661" t="s">
        <v>80</v>
      </c>
      <c r="J661" s="175" t="str">
        <f t="shared" si="38"/>
        <v>Baseboard 4873Fairchild               8238-05</v>
      </c>
      <c r="K661" t="s">
        <v>1333</v>
      </c>
    </row>
    <row r="662" spans="1:11" x14ac:dyDescent="0.35">
      <c r="A662" s="209" t="s">
        <v>1196</v>
      </c>
      <c r="B662" s="209" t="s">
        <v>198</v>
      </c>
      <c r="C662" t="s">
        <v>677</v>
      </c>
      <c r="D662" s="210" t="s">
        <v>1197</v>
      </c>
      <c r="F662" s="211" t="s">
        <v>1204</v>
      </c>
      <c r="I662" t="s">
        <v>80</v>
      </c>
      <c r="J662" s="175" t="str">
        <f t="shared" si="38"/>
        <v>Baseboard 4873Indigo                   D379-60</v>
      </c>
      <c r="K662" t="s">
        <v>1334</v>
      </c>
    </row>
    <row r="663" spans="1:11" x14ac:dyDescent="0.35">
      <c r="A663" s="209" t="s">
        <v>1106</v>
      </c>
      <c r="B663" s="209" t="s">
        <v>1115</v>
      </c>
      <c r="C663" t="s">
        <v>677</v>
      </c>
      <c r="D663" t="s">
        <v>880</v>
      </c>
      <c r="F663" t="s">
        <v>891</v>
      </c>
      <c r="I663" t="s">
        <v>80</v>
      </c>
      <c r="J663" s="175" t="str">
        <f t="shared" ref="J663:J673" si="39">CONCATENATE(I663,F663)</f>
        <v>Baseboard 4873White Cypress    7976-79</v>
      </c>
      <c r="K663" t="s">
        <v>1052</v>
      </c>
    </row>
    <row r="664" spans="1:11" x14ac:dyDescent="0.35">
      <c r="A664" s="209" t="s">
        <v>1107</v>
      </c>
      <c r="B664" s="209" t="s">
        <v>1115</v>
      </c>
      <c r="C664" t="s">
        <v>677</v>
      </c>
      <c r="D664" t="s">
        <v>881</v>
      </c>
      <c r="F664" t="s">
        <v>892</v>
      </c>
      <c r="I664" t="s">
        <v>80</v>
      </c>
      <c r="J664" s="175" t="str">
        <f t="shared" si="39"/>
        <v>Baseboard 4873Randolph Forest    8225-79</v>
      </c>
      <c r="K664" t="s">
        <v>1053</v>
      </c>
    </row>
    <row r="665" spans="1:11" x14ac:dyDescent="0.35">
      <c r="A665" s="209" t="s">
        <v>1108</v>
      </c>
      <c r="B665" s="209" t="s">
        <v>1115</v>
      </c>
      <c r="C665" t="s">
        <v>677</v>
      </c>
      <c r="D665" t="s">
        <v>882</v>
      </c>
      <c r="F665" t="s">
        <v>893</v>
      </c>
      <c r="I665" t="s">
        <v>80</v>
      </c>
      <c r="J665" s="175" t="str">
        <f t="shared" si="39"/>
        <v>Baseboard 4873Dering Forest    8226-79</v>
      </c>
      <c r="K665" t="s">
        <v>1054</v>
      </c>
    </row>
    <row r="666" spans="1:11" x14ac:dyDescent="0.35">
      <c r="A666" s="209" t="s">
        <v>1109</v>
      </c>
      <c r="B666" s="209" t="s">
        <v>1115</v>
      </c>
      <c r="C666" t="s">
        <v>677</v>
      </c>
      <c r="D666" t="s">
        <v>883</v>
      </c>
      <c r="F666" t="s">
        <v>894</v>
      </c>
      <c r="I666" t="s">
        <v>80</v>
      </c>
      <c r="J666" s="175" t="str">
        <f t="shared" si="39"/>
        <v>Baseboard 4873White River Forest    8227-79</v>
      </c>
      <c r="K666" t="s">
        <v>1055</v>
      </c>
    </row>
    <row r="667" spans="1:11" x14ac:dyDescent="0.35">
      <c r="A667" s="209" t="s">
        <v>1110</v>
      </c>
      <c r="B667" s="209" t="s">
        <v>1115</v>
      </c>
      <c r="C667" t="s">
        <v>677</v>
      </c>
      <c r="D667" t="s">
        <v>884</v>
      </c>
      <c r="F667" t="s">
        <v>895</v>
      </c>
      <c r="I667" t="s">
        <v>80</v>
      </c>
      <c r="J667" s="175" t="str">
        <f t="shared" si="39"/>
        <v>Baseboard 4873Avondale Ash    8228-79</v>
      </c>
      <c r="K667" t="s">
        <v>1056</v>
      </c>
    </row>
    <row r="668" spans="1:11" x14ac:dyDescent="0.35">
      <c r="A668" s="209" t="s">
        <v>1111</v>
      </c>
      <c r="B668" s="209" t="s">
        <v>1115</v>
      </c>
      <c r="C668" t="s">
        <v>677</v>
      </c>
      <c r="D668" t="s">
        <v>885</v>
      </c>
      <c r="F668" t="s">
        <v>896</v>
      </c>
      <c r="I668" t="s">
        <v>80</v>
      </c>
      <c r="J668" s="175" t="str">
        <f t="shared" si="39"/>
        <v>Baseboard 4873Friston Ash    8229-79</v>
      </c>
      <c r="K668" t="s">
        <v>1057</v>
      </c>
    </row>
    <row r="669" spans="1:11" x14ac:dyDescent="0.35">
      <c r="A669" s="209" t="s">
        <v>1112</v>
      </c>
      <c r="B669" s="209" t="s">
        <v>1115</v>
      </c>
      <c r="C669" t="s">
        <v>677</v>
      </c>
      <c r="D669" t="s">
        <v>886</v>
      </c>
      <c r="F669" t="s">
        <v>897</v>
      </c>
      <c r="I669" t="s">
        <v>80</v>
      </c>
      <c r="J669" s="175" t="str">
        <f t="shared" si="39"/>
        <v>Baseboard 4873Valley Forge Elm    8231-79</v>
      </c>
      <c r="K669" t="s">
        <v>1058</v>
      </c>
    </row>
    <row r="670" spans="1:11" x14ac:dyDescent="0.35">
      <c r="A670" s="209" t="s">
        <v>1113</v>
      </c>
      <c r="B670" s="209" t="s">
        <v>193</v>
      </c>
      <c r="C670" t="s">
        <v>677</v>
      </c>
      <c r="D670" t="s">
        <v>887</v>
      </c>
      <c r="F670" t="s">
        <v>898</v>
      </c>
      <c r="I670" t="s">
        <v>80</v>
      </c>
      <c r="J670" s="175" t="str">
        <f t="shared" si="39"/>
        <v>Baseboard 4873High Line    7970-28</v>
      </c>
      <c r="K670" t="s">
        <v>1059</v>
      </c>
    </row>
    <row r="671" spans="1:11" x14ac:dyDescent="0.35">
      <c r="A671" s="209" t="s">
        <v>183</v>
      </c>
      <c r="B671" s="209" t="s">
        <v>193</v>
      </c>
      <c r="C671" t="s">
        <v>677</v>
      </c>
      <c r="D671" t="s">
        <v>888</v>
      </c>
      <c r="F671" t="s">
        <v>899</v>
      </c>
      <c r="I671" t="s">
        <v>80</v>
      </c>
      <c r="J671" s="175" t="str">
        <f t="shared" si="39"/>
        <v>Baseboard 4873Neowalnut    7991-28</v>
      </c>
      <c r="K671" t="s">
        <v>1182</v>
      </c>
    </row>
    <row r="672" spans="1:11" x14ac:dyDescent="0.35">
      <c r="A672" s="209" t="s">
        <v>1114</v>
      </c>
      <c r="B672" s="209" t="s">
        <v>193</v>
      </c>
      <c r="C672" t="s">
        <v>677</v>
      </c>
      <c r="D672" t="s">
        <v>889</v>
      </c>
      <c r="F672" t="s">
        <v>900</v>
      </c>
      <c r="I672" t="s">
        <v>80</v>
      </c>
      <c r="J672" s="175" t="str">
        <f t="shared" si="39"/>
        <v>Baseboard 4873Portico Teak    8210-28</v>
      </c>
      <c r="K672" t="s">
        <v>1060</v>
      </c>
    </row>
    <row r="673" spans="1:12" x14ac:dyDescent="0.35">
      <c r="A673" s="209" t="s">
        <v>879</v>
      </c>
      <c r="B673" s="209" t="s">
        <v>198</v>
      </c>
      <c r="C673" t="s">
        <v>677</v>
      </c>
      <c r="D673" t="s">
        <v>890</v>
      </c>
      <c r="F673" t="s">
        <v>901</v>
      </c>
      <c r="I673" t="s">
        <v>80</v>
      </c>
      <c r="J673" s="175" t="str">
        <f t="shared" si="39"/>
        <v>Baseboard 4873Pepperdust    D327-60</v>
      </c>
      <c r="K673" t="s">
        <v>1061</v>
      </c>
    </row>
    <row r="674" spans="1:12" x14ac:dyDescent="0.35">
      <c r="A674" s="209" t="s">
        <v>230</v>
      </c>
      <c r="B674" s="209" t="s">
        <v>165</v>
      </c>
      <c r="C674" t="s">
        <v>677</v>
      </c>
      <c r="D674" t="s">
        <v>231</v>
      </c>
      <c r="F674" t="s">
        <v>12</v>
      </c>
      <c r="I674" t="s">
        <v>80</v>
      </c>
      <c r="J674" s="175" t="str">
        <f t="shared" si="37"/>
        <v>Baseboard 4873Columbian Walnut  7943-07</v>
      </c>
      <c r="K674" t="s">
        <v>695</v>
      </c>
      <c r="L674" t="s">
        <v>780</v>
      </c>
    </row>
    <row r="675" spans="1:12" x14ac:dyDescent="0.35">
      <c r="A675" s="209" t="s">
        <v>234</v>
      </c>
      <c r="B675" s="209" t="s">
        <v>184</v>
      </c>
      <c r="C675" t="s">
        <v>677</v>
      </c>
      <c r="D675" t="s">
        <v>235</v>
      </c>
      <c r="F675" t="s">
        <v>131</v>
      </c>
      <c r="I675" t="s">
        <v>80</v>
      </c>
      <c r="J675" s="175" t="str">
        <f t="shared" si="37"/>
        <v>Baseboard 4873Florence Walnut    7993-38</v>
      </c>
      <c r="K675" t="s">
        <v>696</v>
      </c>
      <c r="L675" t="s">
        <v>781</v>
      </c>
    </row>
    <row r="676" spans="1:12" x14ac:dyDescent="0.35">
      <c r="A676" s="209" t="s">
        <v>164</v>
      </c>
      <c r="B676" s="209" t="s">
        <v>165</v>
      </c>
      <c r="C676" t="s">
        <v>677</v>
      </c>
      <c r="D676" t="s">
        <v>167</v>
      </c>
      <c r="F676" t="s">
        <v>132</v>
      </c>
      <c r="I676" t="s">
        <v>77</v>
      </c>
      <c r="J676" s="175" t="str">
        <f t="shared" si="37"/>
        <v>Batten 4632Shaker Cherry       7935-07</v>
      </c>
      <c r="K676" t="s">
        <v>697</v>
      </c>
      <c r="L676" t="s">
        <v>782</v>
      </c>
    </row>
    <row r="677" spans="1:12" x14ac:dyDescent="0.35">
      <c r="A677" s="209" t="s">
        <v>170</v>
      </c>
      <c r="B677" s="209" t="s">
        <v>165</v>
      </c>
      <c r="C677" t="s">
        <v>677</v>
      </c>
      <c r="D677" t="s">
        <v>171</v>
      </c>
      <c r="F677" t="s">
        <v>133</v>
      </c>
      <c r="I677" t="s">
        <v>77</v>
      </c>
      <c r="J677" s="175" t="str">
        <f t="shared" si="37"/>
        <v>Batten 4632Cafelle 7933-07</v>
      </c>
      <c r="K677" t="s">
        <v>698</v>
      </c>
      <c r="L677" t="s">
        <v>783</v>
      </c>
    </row>
    <row r="678" spans="1:12" x14ac:dyDescent="0.35">
      <c r="A678" s="209" t="s">
        <v>174</v>
      </c>
      <c r="B678" s="209" t="s">
        <v>175</v>
      </c>
      <c r="C678" t="s">
        <v>677</v>
      </c>
      <c r="D678" t="s">
        <v>176</v>
      </c>
      <c r="F678" t="s">
        <v>123</v>
      </c>
      <c r="I678" t="s">
        <v>77</v>
      </c>
      <c r="J678" s="175" t="str">
        <f t="shared" si="37"/>
        <v>Batten 4632White Driftwood      8200-16</v>
      </c>
      <c r="K678" t="s">
        <v>699</v>
      </c>
      <c r="L678" t="s">
        <v>784</v>
      </c>
    </row>
    <row r="679" spans="1:12" x14ac:dyDescent="0.35">
      <c r="A679" s="209" t="s">
        <v>179</v>
      </c>
      <c r="B679" s="209" t="s">
        <v>175</v>
      </c>
      <c r="C679" t="s">
        <v>677</v>
      </c>
      <c r="D679" t="s">
        <v>180</v>
      </c>
      <c r="F679" t="s">
        <v>124</v>
      </c>
      <c r="I679" t="s">
        <v>77</v>
      </c>
      <c r="J679" s="175" t="str">
        <f t="shared" si="37"/>
        <v>Batten 4632Weathered Char     8204-16</v>
      </c>
      <c r="K679" t="s">
        <v>700</v>
      </c>
      <c r="L679" t="s">
        <v>785</v>
      </c>
    </row>
    <row r="680" spans="1:12" x14ac:dyDescent="0.35">
      <c r="A680" s="209" t="s">
        <v>183</v>
      </c>
      <c r="B680" s="209" t="s">
        <v>184</v>
      </c>
      <c r="C680" t="s">
        <v>677</v>
      </c>
      <c r="D680" t="s">
        <v>185</v>
      </c>
      <c r="F680" t="s">
        <v>134</v>
      </c>
      <c r="I680" t="s">
        <v>77</v>
      </c>
      <c r="J680" s="175" t="str">
        <f t="shared" si="37"/>
        <v>Batten 4632Neowalnut 7991-38</v>
      </c>
      <c r="K680" t="s">
        <v>701</v>
      </c>
      <c r="L680" t="s">
        <v>786</v>
      </c>
    </row>
    <row r="681" spans="1:12" x14ac:dyDescent="0.35">
      <c r="A681" s="209" t="s">
        <v>188</v>
      </c>
      <c r="B681" s="209" t="s">
        <v>184</v>
      </c>
      <c r="C681" t="s">
        <v>677</v>
      </c>
      <c r="D681" t="s">
        <v>189</v>
      </c>
      <c r="F681" t="s">
        <v>135</v>
      </c>
      <c r="I681" t="s">
        <v>77</v>
      </c>
      <c r="J681" s="175" t="str">
        <f t="shared" si="37"/>
        <v>Batten 4632Ebony Recon        7997-38</v>
      </c>
      <c r="K681" t="s">
        <v>702</v>
      </c>
      <c r="L681" t="s">
        <v>787</v>
      </c>
    </row>
    <row r="682" spans="1:12" x14ac:dyDescent="0.35">
      <c r="A682" s="209" t="s">
        <v>192</v>
      </c>
      <c r="B682" s="209" t="s">
        <v>193</v>
      </c>
      <c r="C682" t="s">
        <v>677</v>
      </c>
      <c r="D682" t="s">
        <v>194</v>
      </c>
      <c r="F682" t="s">
        <v>36</v>
      </c>
      <c r="I682" t="s">
        <v>77</v>
      </c>
      <c r="J682" s="175" t="str">
        <f t="shared" si="37"/>
        <v>Batten 4632Phantom Charcoal  8214-28</v>
      </c>
      <c r="K682" t="s">
        <v>703</v>
      </c>
      <c r="L682" t="s">
        <v>788</v>
      </c>
    </row>
    <row r="683" spans="1:12" x14ac:dyDescent="0.35">
      <c r="A683" s="209" t="s">
        <v>197</v>
      </c>
      <c r="B683" s="209" t="s">
        <v>198</v>
      </c>
      <c r="C683" t="s">
        <v>677</v>
      </c>
      <c r="D683" t="s">
        <v>199</v>
      </c>
      <c r="F683" t="s">
        <v>11</v>
      </c>
      <c r="I683" t="s">
        <v>77</v>
      </c>
      <c r="J683" s="175" t="str">
        <f t="shared" si="37"/>
        <v>Batten 4632Linen  D427-60</v>
      </c>
      <c r="K683" t="s">
        <v>704</v>
      </c>
      <c r="L683" t="s">
        <v>789</v>
      </c>
    </row>
    <row r="684" spans="1:12" x14ac:dyDescent="0.35">
      <c r="A684" s="209" t="s">
        <v>202</v>
      </c>
      <c r="B684" s="209" t="s">
        <v>193</v>
      </c>
      <c r="C684" t="s">
        <v>677</v>
      </c>
      <c r="D684" t="s">
        <v>203</v>
      </c>
      <c r="F684" t="s">
        <v>136</v>
      </c>
      <c r="I684" t="s">
        <v>77</v>
      </c>
      <c r="J684" s="175" t="str">
        <f t="shared" si="37"/>
        <v>Batten 4632Phantom Pearl      8211-28</v>
      </c>
      <c r="K684" t="s">
        <v>705</v>
      </c>
      <c r="L684" t="s">
        <v>790</v>
      </c>
    </row>
    <row r="685" spans="1:12" x14ac:dyDescent="0.35">
      <c r="A685" s="209" t="s">
        <v>206</v>
      </c>
      <c r="B685" s="209" t="s">
        <v>193</v>
      </c>
      <c r="C685" t="s">
        <v>677</v>
      </c>
      <c r="D685" t="s">
        <v>207</v>
      </c>
      <c r="F685" t="s">
        <v>125</v>
      </c>
      <c r="I685" t="s">
        <v>77</v>
      </c>
      <c r="J685" s="175" t="str">
        <f t="shared" si="37"/>
        <v>Batten 4632Veranda Teak        8209-28</v>
      </c>
      <c r="K685" t="s">
        <v>706</v>
      </c>
      <c r="L685" t="s">
        <v>791</v>
      </c>
    </row>
    <row r="686" spans="1:12" x14ac:dyDescent="0.35">
      <c r="A686" s="209" t="s">
        <v>210</v>
      </c>
      <c r="B686" s="209" t="s">
        <v>175</v>
      </c>
      <c r="C686" t="s">
        <v>677</v>
      </c>
      <c r="D686" t="s">
        <v>211</v>
      </c>
      <c r="F686" t="s">
        <v>126</v>
      </c>
      <c r="I686" t="s">
        <v>77</v>
      </c>
      <c r="J686" s="175" t="str">
        <f t="shared" si="37"/>
        <v>Batten 4632Branded Oak         8207-16</v>
      </c>
      <c r="K686" t="s">
        <v>707</v>
      </c>
      <c r="L686" t="s">
        <v>792</v>
      </c>
    </row>
    <row r="687" spans="1:12" x14ac:dyDescent="0.35">
      <c r="A687" s="209" t="s">
        <v>214</v>
      </c>
      <c r="B687" s="209" t="s">
        <v>175</v>
      </c>
      <c r="C687" t="s">
        <v>677</v>
      </c>
      <c r="D687" t="s">
        <v>215</v>
      </c>
      <c r="F687" t="s">
        <v>127</v>
      </c>
      <c r="I687" t="s">
        <v>77</v>
      </c>
      <c r="J687" s="175" t="str">
        <f t="shared" si="37"/>
        <v>Batten 4632Saddle Oak           8206-16</v>
      </c>
      <c r="K687" t="s">
        <v>708</v>
      </c>
      <c r="L687" t="s">
        <v>793</v>
      </c>
    </row>
    <row r="688" spans="1:12" x14ac:dyDescent="0.35">
      <c r="A688" s="209" t="s">
        <v>218</v>
      </c>
      <c r="B688" s="209" t="s">
        <v>193</v>
      </c>
      <c r="C688" t="s">
        <v>677</v>
      </c>
      <c r="D688" t="s">
        <v>219</v>
      </c>
      <c r="F688" t="s">
        <v>129</v>
      </c>
      <c r="I688" t="s">
        <v>77</v>
      </c>
      <c r="J688" s="175" t="str">
        <f t="shared" si="37"/>
        <v>Batten 4632Phantom Ecru       8212-28</v>
      </c>
      <c r="K688" t="s">
        <v>709</v>
      </c>
      <c r="L688" t="s">
        <v>794</v>
      </c>
    </row>
    <row r="689" spans="1:12" x14ac:dyDescent="0.35">
      <c r="A689" s="209" t="s">
        <v>222</v>
      </c>
      <c r="B689" s="209" t="s">
        <v>175</v>
      </c>
      <c r="C689" t="s">
        <v>677</v>
      </c>
      <c r="D689" t="s">
        <v>223</v>
      </c>
      <c r="F689" t="s">
        <v>128</v>
      </c>
      <c r="I689" t="s">
        <v>77</v>
      </c>
      <c r="J689" s="175" t="str">
        <f t="shared" si="37"/>
        <v>Batten 4632Fawn Cypress       8208-16</v>
      </c>
      <c r="K689" t="s">
        <v>710</v>
      </c>
      <c r="L689" t="s">
        <v>795</v>
      </c>
    </row>
    <row r="690" spans="1:12" x14ac:dyDescent="0.35">
      <c r="A690" s="209" t="s">
        <v>226</v>
      </c>
      <c r="B690" s="209" t="s">
        <v>184</v>
      </c>
      <c r="C690" t="s">
        <v>677</v>
      </c>
      <c r="D690" t="s">
        <v>227</v>
      </c>
      <c r="F690" t="s">
        <v>130</v>
      </c>
      <c r="I690" t="s">
        <v>77</v>
      </c>
      <c r="J690" s="175" t="str">
        <f t="shared" si="37"/>
        <v>Batten 4632River Cherry          7937-38</v>
      </c>
      <c r="K690" t="s">
        <v>711</v>
      </c>
      <c r="L690" t="s">
        <v>796</v>
      </c>
    </row>
    <row r="691" spans="1:12" x14ac:dyDescent="0.35">
      <c r="A691" s="209" t="s">
        <v>1183</v>
      </c>
      <c r="B691" s="209" t="s">
        <v>1184</v>
      </c>
      <c r="C691" t="s">
        <v>677</v>
      </c>
      <c r="D691" s="210" t="s">
        <v>1185</v>
      </c>
      <c r="F691" s="211" t="s">
        <v>1201</v>
      </c>
      <c r="I691" t="s">
        <v>77</v>
      </c>
      <c r="J691" s="175" t="str">
        <f t="shared" ref="J691:J697" si="40">CONCATENATE(I691,F691)</f>
        <v>Batten 4632Akira                     8233-05</v>
      </c>
      <c r="K691" t="s">
        <v>1335</v>
      </c>
    </row>
    <row r="692" spans="1:12" x14ac:dyDescent="0.35">
      <c r="A692" s="209" t="s">
        <v>1186</v>
      </c>
      <c r="B692" s="209" t="s">
        <v>1184</v>
      </c>
      <c r="C692" t="s">
        <v>677</v>
      </c>
      <c r="D692" s="210" t="s">
        <v>1187</v>
      </c>
      <c r="F692" s="211" t="s">
        <v>1200</v>
      </c>
      <c r="I692" t="s">
        <v>77</v>
      </c>
      <c r="J692" s="175" t="str">
        <f t="shared" si="40"/>
        <v>Batten 4632Belair                    8234-05</v>
      </c>
      <c r="K692" t="s">
        <v>1336</v>
      </c>
    </row>
    <row r="693" spans="1:12" x14ac:dyDescent="0.35">
      <c r="A693" s="209" t="s">
        <v>1188</v>
      </c>
      <c r="B693" s="209" t="s">
        <v>1184</v>
      </c>
      <c r="C693" t="s">
        <v>677</v>
      </c>
      <c r="D693" s="210" t="s">
        <v>1189</v>
      </c>
      <c r="F693" s="211" t="s">
        <v>1198</v>
      </c>
      <c r="I693" t="s">
        <v>77</v>
      </c>
      <c r="J693" s="175" t="str">
        <f t="shared" si="40"/>
        <v>Batten 4632Daintree               8235-05</v>
      </c>
      <c r="K693" t="s">
        <v>1337</v>
      </c>
    </row>
    <row r="694" spans="1:12" x14ac:dyDescent="0.35">
      <c r="A694" s="209" t="s">
        <v>1190</v>
      </c>
      <c r="B694" s="209" t="s">
        <v>1184</v>
      </c>
      <c r="C694" t="s">
        <v>677</v>
      </c>
      <c r="D694" s="210" t="s">
        <v>1191</v>
      </c>
      <c r="F694" s="211" t="s">
        <v>1199</v>
      </c>
      <c r="I694" t="s">
        <v>77</v>
      </c>
      <c r="J694" s="175" t="str">
        <f t="shared" si="40"/>
        <v>Batten 4632Monteverdi          8236-05</v>
      </c>
      <c r="K694" t="s">
        <v>1338</v>
      </c>
    </row>
    <row r="695" spans="1:12" x14ac:dyDescent="0.35">
      <c r="A695" s="209" t="s">
        <v>1192</v>
      </c>
      <c r="B695" s="209" t="s">
        <v>1184</v>
      </c>
      <c r="C695" t="s">
        <v>677</v>
      </c>
      <c r="D695" s="210" t="s">
        <v>1193</v>
      </c>
      <c r="F695" s="211" t="s">
        <v>1202</v>
      </c>
      <c r="I695" t="s">
        <v>77</v>
      </c>
      <c r="J695" s="175" t="str">
        <f t="shared" si="40"/>
        <v>Batten 4632Great Bear           8237-05</v>
      </c>
      <c r="K695" t="s">
        <v>1339</v>
      </c>
    </row>
    <row r="696" spans="1:12" x14ac:dyDescent="0.35">
      <c r="A696" s="209" t="s">
        <v>1194</v>
      </c>
      <c r="B696" s="209" t="s">
        <v>1184</v>
      </c>
      <c r="C696" t="s">
        <v>677</v>
      </c>
      <c r="D696" s="210" t="s">
        <v>1195</v>
      </c>
      <c r="F696" s="211" t="s">
        <v>1203</v>
      </c>
      <c r="I696" t="s">
        <v>77</v>
      </c>
      <c r="J696" s="175" t="str">
        <f t="shared" si="40"/>
        <v>Batten 4632Fairchild               8238-05</v>
      </c>
      <c r="K696" t="s">
        <v>1340</v>
      </c>
    </row>
    <row r="697" spans="1:12" x14ac:dyDescent="0.35">
      <c r="A697" s="209" t="s">
        <v>1196</v>
      </c>
      <c r="B697" s="209" t="s">
        <v>198</v>
      </c>
      <c r="C697" t="s">
        <v>677</v>
      </c>
      <c r="D697" s="210" t="s">
        <v>1197</v>
      </c>
      <c r="F697" s="211" t="s">
        <v>1204</v>
      </c>
      <c r="I697" t="s">
        <v>77</v>
      </c>
      <c r="J697" s="175" t="str">
        <f t="shared" si="40"/>
        <v>Batten 4632Indigo                   D379-60</v>
      </c>
      <c r="K697" t="s">
        <v>1341</v>
      </c>
    </row>
    <row r="698" spans="1:12" x14ac:dyDescent="0.35">
      <c r="A698" s="209" t="s">
        <v>1106</v>
      </c>
      <c r="B698" s="209" t="s">
        <v>1115</v>
      </c>
      <c r="C698" t="s">
        <v>677</v>
      </c>
      <c r="D698" t="s">
        <v>880</v>
      </c>
      <c r="F698" t="s">
        <v>891</v>
      </c>
      <c r="I698" t="s">
        <v>77</v>
      </c>
      <c r="J698" s="175" t="str">
        <f t="shared" ref="J698:J708" si="41">CONCATENATE(I698,F698)</f>
        <v>Batten 4632White Cypress    7976-79</v>
      </c>
      <c r="K698" t="s">
        <v>1062</v>
      </c>
    </row>
    <row r="699" spans="1:12" x14ac:dyDescent="0.35">
      <c r="A699" s="209" t="s">
        <v>1107</v>
      </c>
      <c r="B699" s="209" t="s">
        <v>1115</v>
      </c>
      <c r="C699" t="s">
        <v>677</v>
      </c>
      <c r="D699" t="s">
        <v>881</v>
      </c>
      <c r="F699" t="s">
        <v>892</v>
      </c>
      <c r="I699" t="s">
        <v>77</v>
      </c>
      <c r="J699" s="175" t="str">
        <f t="shared" si="41"/>
        <v>Batten 4632Randolph Forest    8225-79</v>
      </c>
      <c r="K699" t="s">
        <v>1063</v>
      </c>
    </row>
    <row r="700" spans="1:12" x14ac:dyDescent="0.35">
      <c r="A700" s="209" t="s">
        <v>1108</v>
      </c>
      <c r="B700" s="209" t="s">
        <v>1115</v>
      </c>
      <c r="C700" t="s">
        <v>677</v>
      </c>
      <c r="D700" t="s">
        <v>882</v>
      </c>
      <c r="F700" t="s">
        <v>893</v>
      </c>
      <c r="I700" t="s">
        <v>77</v>
      </c>
      <c r="J700" s="175" t="str">
        <f t="shared" si="41"/>
        <v>Batten 4632Dering Forest    8226-79</v>
      </c>
      <c r="K700" t="s">
        <v>1064</v>
      </c>
    </row>
    <row r="701" spans="1:12" x14ac:dyDescent="0.35">
      <c r="A701" s="209" t="s">
        <v>1109</v>
      </c>
      <c r="B701" s="209" t="s">
        <v>1115</v>
      </c>
      <c r="C701" t="s">
        <v>677</v>
      </c>
      <c r="D701" t="s">
        <v>883</v>
      </c>
      <c r="F701" t="s">
        <v>894</v>
      </c>
      <c r="I701" t="s">
        <v>77</v>
      </c>
      <c r="J701" s="175" t="str">
        <f t="shared" si="41"/>
        <v>Batten 4632White River Forest    8227-79</v>
      </c>
      <c r="K701" t="s">
        <v>1065</v>
      </c>
    </row>
    <row r="702" spans="1:12" x14ac:dyDescent="0.35">
      <c r="A702" s="209" t="s">
        <v>1110</v>
      </c>
      <c r="B702" s="209" t="s">
        <v>1115</v>
      </c>
      <c r="C702" t="s">
        <v>677</v>
      </c>
      <c r="D702" t="s">
        <v>884</v>
      </c>
      <c r="F702" t="s">
        <v>895</v>
      </c>
      <c r="I702" t="s">
        <v>77</v>
      </c>
      <c r="J702" s="175" t="str">
        <f t="shared" si="41"/>
        <v>Batten 4632Avondale Ash    8228-79</v>
      </c>
      <c r="K702" t="s">
        <v>1066</v>
      </c>
    </row>
    <row r="703" spans="1:12" x14ac:dyDescent="0.35">
      <c r="A703" s="209" t="s">
        <v>1111</v>
      </c>
      <c r="B703" s="209" t="s">
        <v>1115</v>
      </c>
      <c r="C703" t="s">
        <v>677</v>
      </c>
      <c r="D703" t="s">
        <v>885</v>
      </c>
      <c r="F703" t="s">
        <v>896</v>
      </c>
      <c r="I703" t="s">
        <v>77</v>
      </c>
      <c r="J703" s="175" t="str">
        <f t="shared" si="41"/>
        <v>Batten 4632Friston Ash    8229-79</v>
      </c>
      <c r="K703" t="s">
        <v>1067</v>
      </c>
    </row>
    <row r="704" spans="1:12" x14ac:dyDescent="0.35">
      <c r="A704" s="209" t="s">
        <v>1112</v>
      </c>
      <c r="B704" s="209" t="s">
        <v>1115</v>
      </c>
      <c r="C704" t="s">
        <v>677</v>
      </c>
      <c r="D704" t="s">
        <v>886</v>
      </c>
      <c r="F704" t="s">
        <v>897</v>
      </c>
      <c r="I704" t="s">
        <v>77</v>
      </c>
      <c r="J704" s="175" t="str">
        <f t="shared" si="41"/>
        <v>Batten 4632Valley Forge Elm    8231-79</v>
      </c>
      <c r="K704" t="s">
        <v>1068</v>
      </c>
    </row>
    <row r="705" spans="1:12" x14ac:dyDescent="0.35">
      <c r="A705" s="209" t="s">
        <v>1113</v>
      </c>
      <c r="B705" s="209" t="s">
        <v>193</v>
      </c>
      <c r="C705" t="s">
        <v>677</v>
      </c>
      <c r="D705" t="s">
        <v>887</v>
      </c>
      <c r="F705" t="s">
        <v>898</v>
      </c>
      <c r="I705" t="s">
        <v>77</v>
      </c>
      <c r="J705" s="175" t="str">
        <f t="shared" si="41"/>
        <v>Batten 4632High Line    7970-28</v>
      </c>
      <c r="K705" t="s">
        <v>1069</v>
      </c>
    </row>
    <row r="706" spans="1:12" x14ac:dyDescent="0.35">
      <c r="A706" s="209" t="s">
        <v>183</v>
      </c>
      <c r="B706" s="209" t="s">
        <v>193</v>
      </c>
      <c r="C706" t="s">
        <v>677</v>
      </c>
      <c r="D706" t="s">
        <v>888</v>
      </c>
      <c r="F706" t="s">
        <v>899</v>
      </c>
      <c r="I706" t="s">
        <v>77</v>
      </c>
      <c r="J706" s="175" t="str">
        <f t="shared" si="41"/>
        <v>Batten 4632Neowalnut    7991-28</v>
      </c>
      <c r="K706" t="s">
        <v>1070</v>
      </c>
    </row>
    <row r="707" spans="1:12" x14ac:dyDescent="0.35">
      <c r="A707" s="209" t="s">
        <v>1114</v>
      </c>
      <c r="B707" s="209" t="s">
        <v>193</v>
      </c>
      <c r="C707" t="s">
        <v>677</v>
      </c>
      <c r="D707" t="s">
        <v>889</v>
      </c>
      <c r="F707" t="s">
        <v>900</v>
      </c>
      <c r="I707" t="s">
        <v>77</v>
      </c>
      <c r="J707" s="175" t="str">
        <f t="shared" si="41"/>
        <v>Batten 4632Portico Teak    8210-28</v>
      </c>
      <c r="K707" t="s">
        <v>1071</v>
      </c>
    </row>
    <row r="708" spans="1:12" x14ac:dyDescent="0.35">
      <c r="A708" s="209" t="s">
        <v>879</v>
      </c>
      <c r="B708" s="209" t="s">
        <v>198</v>
      </c>
      <c r="C708" t="s">
        <v>677</v>
      </c>
      <c r="D708" t="s">
        <v>890</v>
      </c>
      <c r="F708" t="s">
        <v>901</v>
      </c>
      <c r="I708" t="s">
        <v>77</v>
      </c>
      <c r="J708" s="175" t="str">
        <f t="shared" si="41"/>
        <v>Batten 4632Pepperdust    D327-60</v>
      </c>
      <c r="K708" t="s">
        <v>1072</v>
      </c>
    </row>
    <row r="709" spans="1:12" x14ac:dyDescent="0.35">
      <c r="A709" s="209" t="s">
        <v>230</v>
      </c>
      <c r="B709" s="209" t="s">
        <v>165</v>
      </c>
      <c r="C709" t="s">
        <v>677</v>
      </c>
      <c r="D709" t="s">
        <v>231</v>
      </c>
      <c r="F709" t="s">
        <v>12</v>
      </c>
      <c r="I709" t="s">
        <v>77</v>
      </c>
      <c r="J709" s="175" t="str">
        <f t="shared" si="37"/>
        <v>Batten 4632Columbian Walnut  7943-07</v>
      </c>
      <c r="K709" t="s">
        <v>712</v>
      </c>
      <c r="L709" t="s">
        <v>797</v>
      </c>
    </row>
    <row r="710" spans="1:12" x14ac:dyDescent="0.35">
      <c r="A710" s="209" t="s">
        <v>234</v>
      </c>
      <c r="B710" s="209" t="s">
        <v>184</v>
      </c>
      <c r="C710" t="s">
        <v>677</v>
      </c>
      <c r="D710" t="s">
        <v>235</v>
      </c>
      <c r="F710" t="s">
        <v>131</v>
      </c>
      <c r="I710" t="s">
        <v>77</v>
      </c>
      <c r="J710" s="175" t="str">
        <f t="shared" si="37"/>
        <v>Batten 4632Florence Walnut    7993-38</v>
      </c>
      <c r="K710" t="s">
        <v>713</v>
      </c>
      <c r="L710" t="s">
        <v>798</v>
      </c>
    </row>
    <row r="711" spans="1:12" x14ac:dyDescent="0.35">
      <c r="A711" s="209" t="s">
        <v>164</v>
      </c>
      <c r="B711" s="209" t="s">
        <v>165</v>
      </c>
      <c r="C711" t="s">
        <v>677</v>
      </c>
      <c r="D711" t="s">
        <v>167</v>
      </c>
      <c r="F711" t="s">
        <v>132</v>
      </c>
      <c r="I711" t="s">
        <v>79</v>
      </c>
      <c r="J711" s="175" t="str">
        <f t="shared" si="37"/>
        <v>Concave Crown WP22Shaker Cherry       7935-07</v>
      </c>
      <c r="K711" t="s">
        <v>714</v>
      </c>
      <c r="L711" t="s">
        <v>799</v>
      </c>
    </row>
    <row r="712" spans="1:12" x14ac:dyDescent="0.35">
      <c r="A712" s="209" t="s">
        <v>170</v>
      </c>
      <c r="B712" s="209" t="s">
        <v>165</v>
      </c>
      <c r="C712" t="s">
        <v>677</v>
      </c>
      <c r="D712" t="s">
        <v>171</v>
      </c>
      <c r="F712" t="s">
        <v>133</v>
      </c>
      <c r="I712" t="s">
        <v>79</v>
      </c>
      <c r="J712" s="175" t="str">
        <f t="shared" si="37"/>
        <v>Concave Crown WP22Cafelle 7933-07</v>
      </c>
      <c r="K712" t="s">
        <v>715</v>
      </c>
      <c r="L712" t="s">
        <v>800</v>
      </c>
    </row>
    <row r="713" spans="1:12" x14ac:dyDescent="0.35">
      <c r="A713" s="209" t="s">
        <v>174</v>
      </c>
      <c r="B713" s="209" t="s">
        <v>175</v>
      </c>
      <c r="C713" t="s">
        <v>677</v>
      </c>
      <c r="D713" t="s">
        <v>176</v>
      </c>
      <c r="F713" t="s">
        <v>123</v>
      </c>
      <c r="I713" t="s">
        <v>79</v>
      </c>
      <c r="J713" s="175" t="str">
        <f t="shared" si="37"/>
        <v>Concave Crown WP22White Driftwood      8200-16</v>
      </c>
      <c r="K713" t="s">
        <v>716</v>
      </c>
      <c r="L713" t="s">
        <v>801</v>
      </c>
    </row>
    <row r="714" spans="1:12" x14ac:dyDescent="0.35">
      <c r="A714" s="209" t="s">
        <v>179</v>
      </c>
      <c r="B714" s="209" t="s">
        <v>175</v>
      </c>
      <c r="C714" t="s">
        <v>677</v>
      </c>
      <c r="D714" t="s">
        <v>180</v>
      </c>
      <c r="F714" t="s">
        <v>124</v>
      </c>
      <c r="I714" t="s">
        <v>79</v>
      </c>
      <c r="J714" s="175" t="str">
        <f t="shared" si="37"/>
        <v>Concave Crown WP22Weathered Char     8204-16</v>
      </c>
      <c r="K714" t="s">
        <v>717</v>
      </c>
      <c r="L714" t="s">
        <v>802</v>
      </c>
    </row>
    <row r="715" spans="1:12" x14ac:dyDescent="0.35">
      <c r="A715" s="209" t="s">
        <v>183</v>
      </c>
      <c r="B715" s="209" t="s">
        <v>184</v>
      </c>
      <c r="C715" t="s">
        <v>677</v>
      </c>
      <c r="D715" t="s">
        <v>185</v>
      </c>
      <c r="F715" t="s">
        <v>134</v>
      </c>
      <c r="I715" t="s">
        <v>79</v>
      </c>
      <c r="J715" s="175" t="str">
        <f t="shared" si="37"/>
        <v>Concave Crown WP22Neowalnut 7991-38</v>
      </c>
      <c r="K715" t="s">
        <v>718</v>
      </c>
      <c r="L715" t="s">
        <v>803</v>
      </c>
    </row>
    <row r="716" spans="1:12" x14ac:dyDescent="0.35">
      <c r="A716" s="209" t="s">
        <v>188</v>
      </c>
      <c r="B716" s="209" t="s">
        <v>184</v>
      </c>
      <c r="C716" t="s">
        <v>677</v>
      </c>
      <c r="D716" t="s">
        <v>189</v>
      </c>
      <c r="F716" t="s">
        <v>135</v>
      </c>
      <c r="I716" t="s">
        <v>79</v>
      </c>
      <c r="J716" s="175" t="str">
        <f t="shared" si="37"/>
        <v>Concave Crown WP22Ebony Recon        7997-38</v>
      </c>
      <c r="K716" t="s">
        <v>719</v>
      </c>
      <c r="L716" t="s">
        <v>804</v>
      </c>
    </row>
    <row r="717" spans="1:12" x14ac:dyDescent="0.35">
      <c r="A717" s="209" t="s">
        <v>192</v>
      </c>
      <c r="B717" s="209" t="s">
        <v>193</v>
      </c>
      <c r="C717" t="s">
        <v>677</v>
      </c>
      <c r="D717" t="s">
        <v>194</v>
      </c>
      <c r="F717" t="s">
        <v>36</v>
      </c>
      <c r="I717" t="s">
        <v>79</v>
      </c>
      <c r="J717" s="175" t="str">
        <f t="shared" si="37"/>
        <v>Concave Crown WP22Phantom Charcoal  8214-28</v>
      </c>
      <c r="K717" t="s">
        <v>720</v>
      </c>
      <c r="L717" t="s">
        <v>805</v>
      </c>
    </row>
    <row r="718" spans="1:12" x14ac:dyDescent="0.35">
      <c r="A718" s="209" t="s">
        <v>197</v>
      </c>
      <c r="B718" s="209" t="s">
        <v>198</v>
      </c>
      <c r="C718" t="s">
        <v>677</v>
      </c>
      <c r="D718" t="s">
        <v>199</v>
      </c>
      <c r="F718" t="s">
        <v>11</v>
      </c>
      <c r="I718" t="s">
        <v>79</v>
      </c>
      <c r="J718" s="175" t="str">
        <f t="shared" si="37"/>
        <v>Concave Crown WP22Linen  D427-60</v>
      </c>
      <c r="K718" t="s">
        <v>721</v>
      </c>
      <c r="L718" t="s">
        <v>806</v>
      </c>
    </row>
    <row r="719" spans="1:12" x14ac:dyDescent="0.35">
      <c r="A719" s="209" t="s">
        <v>202</v>
      </c>
      <c r="B719" s="209" t="s">
        <v>193</v>
      </c>
      <c r="C719" t="s">
        <v>677</v>
      </c>
      <c r="D719" t="s">
        <v>203</v>
      </c>
      <c r="F719" t="s">
        <v>136</v>
      </c>
      <c r="I719" t="s">
        <v>79</v>
      </c>
      <c r="J719" s="175" t="str">
        <f t="shared" si="37"/>
        <v>Concave Crown WP22Phantom Pearl      8211-28</v>
      </c>
      <c r="K719" t="s">
        <v>722</v>
      </c>
      <c r="L719" t="s">
        <v>807</v>
      </c>
    </row>
    <row r="720" spans="1:12" x14ac:dyDescent="0.35">
      <c r="A720" s="209" t="s">
        <v>206</v>
      </c>
      <c r="B720" s="209" t="s">
        <v>193</v>
      </c>
      <c r="C720" t="s">
        <v>677</v>
      </c>
      <c r="D720" t="s">
        <v>207</v>
      </c>
      <c r="F720" t="s">
        <v>125</v>
      </c>
      <c r="I720" t="s">
        <v>79</v>
      </c>
      <c r="J720" s="175" t="str">
        <f t="shared" si="37"/>
        <v>Concave Crown WP22Veranda Teak        8209-28</v>
      </c>
      <c r="K720" t="s">
        <v>723</v>
      </c>
      <c r="L720" t="s">
        <v>808</v>
      </c>
    </row>
    <row r="721" spans="1:12" x14ac:dyDescent="0.35">
      <c r="A721" s="209" t="s">
        <v>210</v>
      </c>
      <c r="B721" s="209" t="s">
        <v>175</v>
      </c>
      <c r="C721" t="s">
        <v>677</v>
      </c>
      <c r="D721" t="s">
        <v>211</v>
      </c>
      <c r="F721" t="s">
        <v>126</v>
      </c>
      <c r="I721" t="s">
        <v>79</v>
      </c>
      <c r="J721" s="175" t="str">
        <f t="shared" si="37"/>
        <v>Concave Crown WP22Branded Oak         8207-16</v>
      </c>
      <c r="K721" t="s">
        <v>724</v>
      </c>
      <c r="L721" t="s">
        <v>809</v>
      </c>
    </row>
    <row r="722" spans="1:12" x14ac:dyDescent="0.35">
      <c r="A722" s="209" t="s">
        <v>214</v>
      </c>
      <c r="B722" s="209" t="s">
        <v>175</v>
      </c>
      <c r="C722" t="s">
        <v>677</v>
      </c>
      <c r="D722" t="s">
        <v>215</v>
      </c>
      <c r="F722" t="s">
        <v>127</v>
      </c>
      <c r="I722" t="s">
        <v>79</v>
      </c>
      <c r="J722" s="175" t="str">
        <f t="shared" si="37"/>
        <v>Concave Crown WP22Saddle Oak           8206-16</v>
      </c>
      <c r="K722" t="s">
        <v>725</v>
      </c>
      <c r="L722" t="s">
        <v>810</v>
      </c>
    </row>
    <row r="723" spans="1:12" x14ac:dyDescent="0.35">
      <c r="A723" s="209" t="s">
        <v>218</v>
      </c>
      <c r="B723" s="209" t="s">
        <v>193</v>
      </c>
      <c r="C723" t="s">
        <v>677</v>
      </c>
      <c r="D723" t="s">
        <v>219</v>
      </c>
      <c r="F723" t="s">
        <v>129</v>
      </c>
      <c r="I723" t="s">
        <v>79</v>
      </c>
      <c r="J723" s="175" t="str">
        <f t="shared" si="37"/>
        <v>Concave Crown WP22Phantom Ecru       8212-28</v>
      </c>
      <c r="K723" t="s">
        <v>726</v>
      </c>
      <c r="L723" t="s">
        <v>811</v>
      </c>
    </row>
    <row r="724" spans="1:12" x14ac:dyDescent="0.35">
      <c r="A724" s="209" t="s">
        <v>222</v>
      </c>
      <c r="B724" s="209" t="s">
        <v>175</v>
      </c>
      <c r="C724" t="s">
        <v>677</v>
      </c>
      <c r="D724" t="s">
        <v>223</v>
      </c>
      <c r="F724" t="s">
        <v>128</v>
      </c>
      <c r="I724" t="s">
        <v>79</v>
      </c>
      <c r="J724" s="175" t="str">
        <f t="shared" si="37"/>
        <v>Concave Crown WP22Fawn Cypress       8208-16</v>
      </c>
      <c r="K724" t="s">
        <v>727</v>
      </c>
      <c r="L724" t="s">
        <v>812</v>
      </c>
    </row>
    <row r="725" spans="1:12" x14ac:dyDescent="0.35">
      <c r="A725" s="209" t="s">
        <v>226</v>
      </c>
      <c r="B725" s="209" t="s">
        <v>184</v>
      </c>
      <c r="C725" t="s">
        <v>677</v>
      </c>
      <c r="D725" t="s">
        <v>227</v>
      </c>
      <c r="F725" t="s">
        <v>130</v>
      </c>
      <c r="I725" t="s">
        <v>79</v>
      </c>
      <c r="J725" s="175" t="str">
        <f t="shared" si="37"/>
        <v>Concave Crown WP22River Cherry          7937-38</v>
      </c>
      <c r="K725" t="s">
        <v>728</v>
      </c>
      <c r="L725" t="s">
        <v>813</v>
      </c>
    </row>
    <row r="726" spans="1:12" x14ac:dyDescent="0.35">
      <c r="A726" s="209" t="s">
        <v>1183</v>
      </c>
      <c r="B726" s="209" t="s">
        <v>1184</v>
      </c>
      <c r="C726" t="s">
        <v>677</v>
      </c>
      <c r="D726" s="210" t="s">
        <v>1185</v>
      </c>
      <c r="F726" s="211" t="s">
        <v>1201</v>
      </c>
      <c r="I726" t="s">
        <v>79</v>
      </c>
      <c r="J726" s="175" t="str">
        <f t="shared" ref="J726:J732" si="42">CONCATENATE(I726,F726)</f>
        <v>Concave Crown WP22Akira                     8233-05</v>
      </c>
      <c r="K726" t="s">
        <v>1342</v>
      </c>
    </row>
    <row r="727" spans="1:12" x14ac:dyDescent="0.35">
      <c r="A727" s="209" t="s">
        <v>1186</v>
      </c>
      <c r="B727" s="209" t="s">
        <v>1184</v>
      </c>
      <c r="C727" t="s">
        <v>677</v>
      </c>
      <c r="D727" s="210" t="s">
        <v>1187</v>
      </c>
      <c r="F727" s="211" t="s">
        <v>1200</v>
      </c>
      <c r="I727" t="s">
        <v>79</v>
      </c>
      <c r="J727" s="175" t="str">
        <f t="shared" si="42"/>
        <v>Concave Crown WP22Belair                    8234-05</v>
      </c>
      <c r="K727" t="s">
        <v>1343</v>
      </c>
    </row>
    <row r="728" spans="1:12" x14ac:dyDescent="0.35">
      <c r="A728" s="209" t="s">
        <v>1188</v>
      </c>
      <c r="B728" s="209" t="s">
        <v>1184</v>
      </c>
      <c r="C728" t="s">
        <v>677</v>
      </c>
      <c r="D728" s="210" t="s">
        <v>1189</v>
      </c>
      <c r="F728" s="211" t="s">
        <v>1198</v>
      </c>
      <c r="I728" t="s">
        <v>79</v>
      </c>
      <c r="J728" s="175" t="str">
        <f t="shared" si="42"/>
        <v>Concave Crown WP22Daintree               8235-05</v>
      </c>
      <c r="K728" t="s">
        <v>1344</v>
      </c>
    </row>
    <row r="729" spans="1:12" x14ac:dyDescent="0.35">
      <c r="A729" s="209" t="s">
        <v>1190</v>
      </c>
      <c r="B729" s="209" t="s">
        <v>1184</v>
      </c>
      <c r="C729" t="s">
        <v>677</v>
      </c>
      <c r="D729" s="210" t="s">
        <v>1191</v>
      </c>
      <c r="F729" s="211" t="s">
        <v>1199</v>
      </c>
      <c r="I729" t="s">
        <v>79</v>
      </c>
      <c r="J729" s="175" t="str">
        <f t="shared" si="42"/>
        <v>Concave Crown WP22Monteverdi          8236-05</v>
      </c>
      <c r="K729" t="s">
        <v>1345</v>
      </c>
    </row>
    <row r="730" spans="1:12" x14ac:dyDescent="0.35">
      <c r="A730" s="209" t="s">
        <v>1192</v>
      </c>
      <c r="B730" s="209" t="s">
        <v>1184</v>
      </c>
      <c r="C730" t="s">
        <v>677</v>
      </c>
      <c r="D730" s="210" t="s">
        <v>1193</v>
      </c>
      <c r="F730" s="211" t="s">
        <v>1202</v>
      </c>
      <c r="I730" t="s">
        <v>79</v>
      </c>
      <c r="J730" s="175" t="str">
        <f t="shared" si="42"/>
        <v>Concave Crown WP22Great Bear           8237-05</v>
      </c>
      <c r="K730" t="s">
        <v>1346</v>
      </c>
    </row>
    <row r="731" spans="1:12" x14ac:dyDescent="0.35">
      <c r="A731" s="209" t="s">
        <v>1194</v>
      </c>
      <c r="B731" s="209" t="s">
        <v>1184</v>
      </c>
      <c r="C731" t="s">
        <v>677</v>
      </c>
      <c r="D731" s="210" t="s">
        <v>1195</v>
      </c>
      <c r="F731" s="211" t="s">
        <v>1203</v>
      </c>
      <c r="I731" t="s">
        <v>79</v>
      </c>
      <c r="J731" s="175" t="str">
        <f t="shared" si="42"/>
        <v>Concave Crown WP22Fairchild               8238-05</v>
      </c>
      <c r="K731" t="s">
        <v>1347</v>
      </c>
    </row>
    <row r="732" spans="1:12" x14ac:dyDescent="0.35">
      <c r="A732" s="209" t="s">
        <v>1196</v>
      </c>
      <c r="B732" s="209" t="s">
        <v>198</v>
      </c>
      <c r="C732" t="s">
        <v>677</v>
      </c>
      <c r="D732" s="210" t="s">
        <v>1197</v>
      </c>
      <c r="F732" s="211" t="s">
        <v>1204</v>
      </c>
      <c r="I732" t="s">
        <v>79</v>
      </c>
      <c r="J732" s="175" t="str">
        <f t="shared" si="42"/>
        <v>Concave Crown WP22Indigo                   D379-60</v>
      </c>
      <c r="K732" t="s">
        <v>1348</v>
      </c>
    </row>
    <row r="733" spans="1:12" x14ac:dyDescent="0.35">
      <c r="A733" s="209" t="s">
        <v>1106</v>
      </c>
      <c r="B733" s="209" t="s">
        <v>1115</v>
      </c>
      <c r="C733" t="s">
        <v>677</v>
      </c>
      <c r="D733" t="s">
        <v>880</v>
      </c>
      <c r="F733" t="s">
        <v>891</v>
      </c>
      <c r="I733" t="s">
        <v>79</v>
      </c>
      <c r="J733" s="175" t="str">
        <f t="shared" ref="J733:J743" si="43">CONCATENATE(I733,F733)</f>
        <v>Concave Crown WP22White Cypress    7976-79</v>
      </c>
      <c r="K733" t="s">
        <v>1073</v>
      </c>
    </row>
    <row r="734" spans="1:12" x14ac:dyDescent="0.35">
      <c r="A734" s="209" t="s">
        <v>1107</v>
      </c>
      <c r="B734" s="209" t="s">
        <v>1115</v>
      </c>
      <c r="C734" t="s">
        <v>677</v>
      </c>
      <c r="D734" t="s">
        <v>881</v>
      </c>
      <c r="F734" t="s">
        <v>892</v>
      </c>
      <c r="I734" t="s">
        <v>79</v>
      </c>
      <c r="J734" s="175" t="str">
        <f t="shared" si="43"/>
        <v>Concave Crown WP22Randolph Forest    8225-79</v>
      </c>
      <c r="K734" t="s">
        <v>1074</v>
      </c>
    </row>
    <row r="735" spans="1:12" x14ac:dyDescent="0.35">
      <c r="A735" s="209" t="s">
        <v>1108</v>
      </c>
      <c r="B735" s="209" t="s">
        <v>1115</v>
      </c>
      <c r="C735" t="s">
        <v>677</v>
      </c>
      <c r="D735" t="s">
        <v>882</v>
      </c>
      <c r="F735" t="s">
        <v>893</v>
      </c>
      <c r="I735" t="s">
        <v>79</v>
      </c>
      <c r="J735" s="175" t="str">
        <f t="shared" si="43"/>
        <v>Concave Crown WP22Dering Forest    8226-79</v>
      </c>
      <c r="K735" t="s">
        <v>1075</v>
      </c>
    </row>
    <row r="736" spans="1:12" x14ac:dyDescent="0.35">
      <c r="A736" s="209" t="s">
        <v>1109</v>
      </c>
      <c r="B736" s="209" t="s">
        <v>1115</v>
      </c>
      <c r="C736" t="s">
        <v>677</v>
      </c>
      <c r="D736" t="s">
        <v>883</v>
      </c>
      <c r="F736" t="s">
        <v>894</v>
      </c>
      <c r="I736" t="s">
        <v>79</v>
      </c>
      <c r="J736" s="175" t="str">
        <f t="shared" si="43"/>
        <v>Concave Crown WP22White River Forest    8227-79</v>
      </c>
      <c r="K736" t="s">
        <v>1076</v>
      </c>
    </row>
    <row r="737" spans="1:12" x14ac:dyDescent="0.35">
      <c r="A737" s="209" t="s">
        <v>1110</v>
      </c>
      <c r="B737" s="209" t="s">
        <v>1115</v>
      </c>
      <c r="C737" t="s">
        <v>677</v>
      </c>
      <c r="D737" t="s">
        <v>884</v>
      </c>
      <c r="F737" t="s">
        <v>895</v>
      </c>
      <c r="I737" t="s">
        <v>79</v>
      </c>
      <c r="J737" s="175" t="str">
        <f t="shared" si="43"/>
        <v>Concave Crown WP22Avondale Ash    8228-79</v>
      </c>
      <c r="K737" t="s">
        <v>1077</v>
      </c>
    </row>
    <row r="738" spans="1:12" x14ac:dyDescent="0.35">
      <c r="A738" s="209" t="s">
        <v>1111</v>
      </c>
      <c r="B738" s="209" t="s">
        <v>1115</v>
      </c>
      <c r="C738" t="s">
        <v>677</v>
      </c>
      <c r="D738" t="s">
        <v>885</v>
      </c>
      <c r="F738" t="s">
        <v>896</v>
      </c>
      <c r="I738" t="s">
        <v>79</v>
      </c>
      <c r="J738" s="175" t="str">
        <f t="shared" si="43"/>
        <v>Concave Crown WP22Friston Ash    8229-79</v>
      </c>
      <c r="K738" t="s">
        <v>1078</v>
      </c>
    </row>
    <row r="739" spans="1:12" x14ac:dyDescent="0.35">
      <c r="A739" s="209" t="s">
        <v>1112</v>
      </c>
      <c r="B739" s="209" t="s">
        <v>1115</v>
      </c>
      <c r="C739" t="s">
        <v>677</v>
      </c>
      <c r="D739" t="s">
        <v>886</v>
      </c>
      <c r="F739" t="s">
        <v>897</v>
      </c>
      <c r="I739" t="s">
        <v>79</v>
      </c>
      <c r="J739" s="175" t="str">
        <f t="shared" si="43"/>
        <v>Concave Crown WP22Valley Forge Elm    8231-79</v>
      </c>
      <c r="K739" t="s">
        <v>1079</v>
      </c>
    </row>
    <row r="740" spans="1:12" x14ac:dyDescent="0.35">
      <c r="A740" s="209" t="s">
        <v>1113</v>
      </c>
      <c r="B740" s="209" t="s">
        <v>193</v>
      </c>
      <c r="C740" t="s">
        <v>677</v>
      </c>
      <c r="D740" t="s">
        <v>887</v>
      </c>
      <c r="F740" t="s">
        <v>898</v>
      </c>
      <c r="I740" t="s">
        <v>79</v>
      </c>
      <c r="J740" s="175" t="str">
        <f t="shared" si="43"/>
        <v>Concave Crown WP22High Line    7970-28</v>
      </c>
      <c r="K740" t="s">
        <v>1080</v>
      </c>
    </row>
    <row r="741" spans="1:12" x14ac:dyDescent="0.35">
      <c r="A741" s="209" t="s">
        <v>183</v>
      </c>
      <c r="B741" s="209" t="s">
        <v>193</v>
      </c>
      <c r="C741" t="s">
        <v>677</v>
      </c>
      <c r="D741" t="s">
        <v>888</v>
      </c>
      <c r="F741" t="s">
        <v>899</v>
      </c>
      <c r="I741" t="s">
        <v>79</v>
      </c>
      <c r="J741" s="175" t="str">
        <f t="shared" si="43"/>
        <v>Concave Crown WP22Neowalnut    7991-28</v>
      </c>
      <c r="K741" t="s">
        <v>1081</v>
      </c>
    </row>
    <row r="742" spans="1:12" x14ac:dyDescent="0.35">
      <c r="A742" s="209" t="s">
        <v>1114</v>
      </c>
      <c r="B742" s="209" t="s">
        <v>193</v>
      </c>
      <c r="C742" t="s">
        <v>677</v>
      </c>
      <c r="D742" t="s">
        <v>889</v>
      </c>
      <c r="F742" t="s">
        <v>900</v>
      </c>
      <c r="I742" t="s">
        <v>79</v>
      </c>
      <c r="J742" s="175" t="str">
        <f t="shared" si="43"/>
        <v>Concave Crown WP22Portico Teak    8210-28</v>
      </c>
      <c r="K742" t="s">
        <v>1082</v>
      </c>
    </row>
    <row r="743" spans="1:12" x14ac:dyDescent="0.35">
      <c r="A743" s="209" t="s">
        <v>879</v>
      </c>
      <c r="B743" s="209" t="s">
        <v>198</v>
      </c>
      <c r="C743" t="s">
        <v>677</v>
      </c>
      <c r="D743" t="s">
        <v>890</v>
      </c>
      <c r="F743" t="s">
        <v>901</v>
      </c>
      <c r="I743" t="s">
        <v>79</v>
      </c>
      <c r="J743" s="175" t="str">
        <f t="shared" si="43"/>
        <v>Concave Crown WP22Pepperdust    D327-60</v>
      </c>
      <c r="K743" t="s">
        <v>1083</v>
      </c>
    </row>
    <row r="744" spans="1:12" x14ac:dyDescent="0.35">
      <c r="A744" s="209" t="s">
        <v>230</v>
      </c>
      <c r="B744" s="209" t="s">
        <v>165</v>
      </c>
      <c r="C744" t="s">
        <v>677</v>
      </c>
      <c r="D744" t="s">
        <v>231</v>
      </c>
      <c r="F744" t="s">
        <v>12</v>
      </c>
      <c r="I744" t="s">
        <v>79</v>
      </c>
      <c r="J744" s="175" t="str">
        <f t="shared" si="37"/>
        <v>Concave Crown WP22Columbian Walnut  7943-07</v>
      </c>
      <c r="K744" t="s">
        <v>729</v>
      </c>
      <c r="L744" t="s">
        <v>814</v>
      </c>
    </row>
    <row r="745" spans="1:12" x14ac:dyDescent="0.35">
      <c r="A745" s="209" t="s">
        <v>234</v>
      </c>
      <c r="B745" s="209" t="s">
        <v>184</v>
      </c>
      <c r="C745" t="s">
        <v>677</v>
      </c>
      <c r="D745" t="s">
        <v>235</v>
      </c>
      <c r="F745" t="s">
        <v>131</v>
      </c>
      <c r="I745" t="s">
        <v>79</v>
      </c>
      <c r="J745" s="175" t="str">
        <f t="shared" si="37"/>
        <v>Concave Crown WP22Florence Walnut    7993-38</v>
      </c>
      <c r="K745" t="s">
        <v>730</v>
      </c>
      <c r="L745" t="s">
        <v>815</v>
      </c>
    </row>
    <row r="746" spans="1:12" x14ac:dyDescent="0.35">
      <c r="A746" s="209" t="s">
        <v>164</v>
      </c>
      <c r="B746" s="209" t="s">
        <v>165</v>
      </c>
      <c r="C746" t="s">
        <v>677</v>
      </c>
      <c r="D746" t="s">
        <v>167</v>
      </c>
      <c r="F746" t="s">
        <v>132</v>
      </c>
      <c r="I746" t="s">
        <v>78</v>
      </c>
      <c r="J746" s="175" t="str">
        <f t="shared" si="37"/>
        <v>Contemporary Crown 4766Shaker Cherry       7935-07</v>
      </c>
      <c r="K746" t="s">
        <v>731</v>
      </c>
      <c r="L746" t="s">
        <v>816</v>
      </c>
    </row>
    <row r="747" spans="1:12" x14ac:dyDescent="0.35">
      <c r="A747" s="209" t="s">
        <v>170</v>
      </c>
      <c r="B747" s="209" t="s">
        <v>165</v>
      </c>
      <c r="C747" t="s">
        <v>677</v>
      </c>
      <c r="D747" t="s">
        <v>171</v>
      </c>
      <c r="F747" t="s">
        <v>133</v>
      </c>
      <c r="I747" t="s">
        <v>78</v>
      </c>
      <c r="J747" s="175" t="str">
        <f t="shared" si="37"/>
        <v>Contemporary Crown 4766Cafelle 7933-07</v>
      </c>
      <c r="K747" t="s">
        <v>732</v>
      </c>
      <c r="L747" t="s">
        <v>817</v>
      </c>
    </row>
    <row r="748" spans="1:12" x14ac:dyDescent="0.35">
      <c r="A748" s="209" t="s">
        <v>174</v>
      </c>
      <c r="B748" s="209" t="s">
        <v>175</v>
      </c>
      <c r="C748" t="s">
        <v>677</v>
      </c>
      <c r="D748" t="s">
        <v>176</v>
      </c>
      <c r="F748" t="s">
        <v>123</v>
      </c>
      <c r="I748" t="s">
        <v>78</v>
      </c>
      <c r="J748" s="175" t="str">
        <f t="shared" si="37"/>
        <v>Contemporary Crown 4766White Driftwood      8200-16</v>
      </c>
      <c r="K748" t="s">
        <v>733</v>
      </c>
      <c r="L748" t="s">
        <v>818</v>
      </c>
    </row>
    <row r="749" spans="1:12" x14ac:dyDescent="0.35">
      <c r="A749" s="209" t="s">
        <v>179</v>
      </c>
      <c r="B749" s="209" t="s">
        <v>175</v>
      </c>
      <c r="C749" t="s">
        <v>677</v>
      </c>
      <c r="D749" t="s">
        <v>180</v>
      </c>
      <c r="F749" t="s">
        <v>124</v>
      </c>
      <c r="I749" t="s">
        <v>78</v>
      </c>
      <c r="J749" s="175" t="str">
        <f t="shared" si="37"/>
        <v>Contemporary Crown 4766Weathered Char     8204-16</v>
      </c>
      <c r="K749" t="s">
        <v>734</v>
      </c>
      <c r="L749" t="s">
        <v>819</v>
      </c>
    </row>
    <row r="750" spans="1:12" x14ac:dyDescent="0.35">
      <c r="A750" s="209" t="s">
        <v>183</v>
      </c>
      <c r="B750" s="209" t="s">
        <v>184</v>
      </c>
      <c r="C750" t="s">
        <v>677</v>
      </c>
      <c r="D750" t="s">
        <v>185</v>
      </c>
      <c r="F750" t="s">
        <v>134</v>
      </c>
      <c r="I750" t="s">
        <v>78</v>
      </c>
      <c r="J750" s="175" t="str">
        <f t="shared" si="37"/>
        <v>Contemporary Crown 4766Neowalnut 7991-38</v>
      </c>
      <c r="K750" t="s">
        <v>735</v>
      </c>
      <c r="L750" t="s">
        <v>820</v>
      </c>
    </row>
    <row r="751" spans="1:12" x14ac:dyDescent="0.35">
      <c r="A751" s="209" t="s">
        <v>188</v>
      </c>
      <c r="B751" s="209" t="s">
        <v>184</v>
      </c>
      <c r="C751" t="s">
        <v>677</v>
      </c>
      <c r="D751" t="s">
        <v>189</v>
      </c>
      <c r="F751" t="s">
        <v>135</v>
      </c>
      <c r="I751" t="s">
        <v>78</v>
      </c>
      <c r="J751" s="175" t="str">
        <f t="shared" si="37"/>
        <v>Contemporary Crown 4766Ebony Recon        7997-38</v>
      </c>
      <c r="K751" t="s">
        <v>736</v>
      </c>
      <c r="L751" t="s">
        <v>821</v>
      </c>
    </row>
    <row r="752" spans="1:12" x14ac:dyDescent="0.35">
      <c r="A752" s="209" t="s">
        <v>192</v>
      </c>
      <c r="B752" s="209" t="s">
        <v>193</v>
      </c>
      <c r="C752" t="s">
        <v>677</v>
      </c>
      <c r="D752" t="s">
        <v>194</v>
      </c>
      <c r="F752" t="s">
        <v>36</v>
      </c>
      <c r="I752" t="s">
        <v>78</v>
      </c>
      <c r="J752" s="175" t="str">
        <f t="shared" si="37"/>
        <v>Contemporary Crown 4766Phantom Charcoal  8214-28</v>
      </c>
      <c r="K752" t="s">
        <v>737</v>
      </c>
      <c r="L752" t="s">
        <v>822</v>
      </c>
    </row>
    <row r="753" spans="1:12" x14ac:dyDescent="0.35">
      <c r="A753" s="209" t="s">
        <v>197</v>
      </c>
      <c r="B753" s="209" t="s">
        <v>198</v>
      </c>
      <c r="C753" t="s">
        <v>677</v>
      </c>
      <c r="D753" t="s">
        <v>199</v>
      </c>
      <c r="F753" t="s">
        <v>11</v>
      </c>
      <c r="I753" t="s">
        <v>78</v>
      </c>
      <c r="J753" s="175" t="str">
        <f t="shared" si="37"/>
        <v>Contemporary Crown 4766Linen  D427-60</v>
      </c>
      <c r="K753" t="s">
        <v>738</v>
      </c>
      <c r="L753" t="s">
        <v>823</v>
      </c>
    </row>
    <row r="754" spans="1:12" x14ac:dyDescent="0.35">
      <c r="A754" s="209" t="s">
        <v>202</v>
      </c>
      <c r="B754" s="209" t="s">
        <v>193</v>
      </c>
      <c r="C754" t="s">
        <v>677</v>
      </c>
      <c r="D754" t="s">
        <v>203</v>
      </c>
      <c r="F754" t="s">
        <v>136</v>
      </c>
      <c r="I754" t="s">
        <v>78</v>
      </c>
      <c r="J754" s="175" t="str">
        <f t="shared" si="37"/>
        <v>Contemporary Crown 4766Phantom Pearl      8211-28</v>
      </c>
      <c r="K754" t="s">
        <v>739</v>
      </c>
      <c r="L754" t="s">
        <v>824</v>
      </c>
    </row>
    <row r="755" spans="1:12" x14ac:dyDescent="0.35">
      <c r="A755" s="209" t="s">
        <v>206</v>
      </c>
      <c r="B755" s="209" t="s">
        <v>193</v>
      </c>
      <c r="C755" t="s">
        <v>677</v>
      </c>
      <c r="D755" t="s">
        <v>207</v>
      </c>
      <c r="F755" t="s">
        <v>125</v>
      </c>
      <c r="I755" t="s">
        <v>78</v>
      </c>
      <c r="J755" s="175" t="str">
        <f t="shared" si="37"/>
        <v>Contemporary Crown 4766Veranda Teak        8209-28</v>
      </c>
      <c r="K755" t="s">
        <v>740</v>
      </c>
      <c r="L755" t="s">
        <v>825</v>
      </c>
    </row>
    <row r="756" spans="1:12" x14ac:dyDescent="0.35">
      <c r="A756" s="209" t="s">
        <v>210</v>
      </c>
      <c r="B756" s="209" t="s">
        <v>175</v>
      </c>
      <c r="C756" t="s">
        <v>677</v>
      </c>
      <c r="D756" t="s">
        <v>211</v>
      </c>
      <c r="F756" t="s">
        <v>126</v>
      </c>
      <c r="I756" t="s">
        <v>78</v>
      </c>
      <c r="J756" s="175" t="str">
        <f t="shared" si="37"/>
        <v>Contemporary Crown 4766Branded Oak         8207-16</v>
      </c>
      <c r="K756" t="s">
        <v>741</v>
      </c>
      <c r="L756" t="s">
        <v>826</v>
      </c>
    </row>
    <row r="757" spans="1:12" x14ac:dyDescent="0.35">
      <c r="A757" s="209" t="s">
        <v>214</v>
      </c>
      <c r="B757" s="209" t="s">
        <v>175</v>
      </c>
      <c r="C757" t="s">
        <v>677</v>
      </c>
      <c r="D757" t="s">
        <v>215</v>
      </c>
      <c r="F757" t="s">
        <v>127</v>
      </c>
      <c r="I757" t="s">
        <v>78</v>
      </c>
      <c r="J757" s="175" t="str">
        <f t="shared" si="37"/>
        <v>Contemporary Crown 4766Saddle Oak           8206-16</v>
      </c>
      <c r="K757" t="s">
        <v>742</v>
      </c>
      <c r="L757" t="s">
        <v>827</v>
      </c>
    </row>
    <row r="758" spans="1:12" x14ac:dyDescent="0.35">
      <c r="A758" s="209" t="s">
        <v>218</v>
      </c>
      <c r="B758" s="209" t="s">
        <v>193</v>
      </c>
      <c r="C758" t="s">
        <v>677</v>
      </c>
      <c r="D758" t="s">
        <v>219</v>
      </c>
      <c r="F758" t="s">
        <v>129</v>
      </c>
      <c r="I758" t="s">
        <v>78</v>
      </c>
      <c r="J758" s="175" t="str">
        <f t="shared" si="37"/>
        <v>Contemporary Crown 4766Phantom Ecru       8212-28</v>
      </c>
      <c r="K758" t="s">
        <v>743</v>
      </c>
      <c r="L758" t="s">
        <v>828</v>
      </c>
    </row>
    <row r="759" spans="1:12" x14ac:dyDescent="0.35">
      <c r="A759" s="209" t="s">
        <v>222</v>
      </c>
      <c r="B759" s="209" t="s">
        <v>175</v>
      </c>
      <c r="C759" t="s">
        <v>677</v>
      </c>
      <c r="D759" t="s">
        <v>223</v>
      </c>
      <c r="F759" t="s">
        <v>128</v>
      </c>
      <c r="I759" t="s">
        <v>78</v>
      </c>
      <c r="J759" s="175" t="str">
        <f t="shared" si="37"/>
        <v>Contemporary Crown 4766Fawn Cypress       8208-16</v>
      </c>
      <c r="K759" t="s">
        <v>744</v>
      </c>
      <c r="L759" t="s">
        <v>829</v>
      </c>
    </row>
    <row r="760" spans="1:12" x14ac:dyDescent="0.35">
      <c r="A760" s="209" t="s">
        <v>226</v>
      </c>
      <c r="B760" s="209" t="s">
        <v>184</v>
      </c>
      <c r="C760" t="s">
        <v>677</v>
      </c>
      <c r="D760" t="s">
        <v>227</v>
      </c>
      <c r="F760" t="s">
        <v>130</v>
      </c>
      <c r="I760" t="s">
        <v>78</v>
      </c>
      <c r="J760" s="175" t="str">
        <f t="shared" ref="J760:J885" si="44">CONCATENATE(I760,F760)</f>
        <v>Contemporary Crown 4766River Cherry          7937-38</v>
      </c>
      <c r="K760" t="s">
        <v>745</v>
      </c>
      <c r="L760" t="s">
        <v>830</v>
      </c>
    </row>
    <row r="761" spans="1:12" x14ac:dyDescent="0.35">
      <c r="A761" s="209" t="s">
        <v>1183</v>
      </c>
      <c r="B761" s="209" t="s">
        <v>1184</v>
      </c>
      <c r="C761" t="s">
        <v>677</v>
      </c>
      <c r="D761" s="210" t="s">
        <v>1185</v>
      </c>
      <c r="F761" s="211" t="s">
        <v>1201</v>
      </c>
      <c r="I761" t="s">
        <v>78</v>
      </c>
      <c r="J761" s="175" t="str">
        <f t="shared" si="44"/>
        <v>Contemporary Crown 4766Akira                     8233-05</v>
      </c>
      <c r="K761" t="s">
        <v>1349</v>
      </c>
    </row>
    <row r="762" spans="1:12" x14ac:dyDescent="0.35">
      <c r="A762" s="209" t="s">
        <v>1186</v>
      </c>
      <c r="B762" s="209" t="s">
        <v>1184</v>
      </c>
      <c r="C762" t="s">
        <v>677</v>
      </c>
      <c r="D762" s="210" t="s">
        <v>1187</v>
      </c>
      <c r="F762" s="211" t="s">
        <v>1200</v>
      </c>
      <c r="I762" t="s">
        <v>78</v>
      </c>
      <c r="J762" s="175" t="str">
        <f t="shared" si="44"/>
        <v>Contemporary Crown 4766Belair                    8234-05</v>
      </c>
      <c r="K762" t="s">
        <v>1350</v>
      </c>
    </row>
    <row r="763" spans="1:12" x14ac:dyDescent="0.35">
      <c r="A763" s="209" t="s">
        <v>1188</v>
      </c>
      <c r="B763" s="209" t="s">
        <v>1184</v>
      </c>
      <c r="C763" t="s">
        <v>677</v>
      </c>
      <c r="D763" s="210" t="s">
        <v>1189</v>
      </c>
      <c r="F763" s="211" t="s">
        <v>1198</v>
      </c>
      <c r="I763" t="s">
        <v>78</v>
      </c>
      <c r="J763" s="175" t="str">
        <f t="shared" si="44"/>
        <v>Contemporary Crown 4766Daintree               8235-05</v>
      </c>
      <c r="K763" t="s">
        <v>1351</v>
      </c>
    </row>
    <row r="764" spans="1:12" x14ac:dyDescent="0.35">
      <c r="A764" s="209" t="s">
        <v>1190</v>
      </c>
      <c r="B764" s="209" t="s">
        <v>1184</v>
      </c>
      <c r="C764" t="s">
        <v>677</v>
      </c>
      <c r="D764" s="210" t="s">
        <v>1191</v>
      </c>
      <c r="F764" s="211" t="s">
        <v>1199</v>
      </c>
      <c r="I764" t="s">
        <v>78</v>
      </c>
      <c r="J764" s="175" t="str">
        <f t="shared" si="44"/>
        <v>Contemporary Crown 4766Monteverdi          8236-05</v>
      </c>
      <c r="K764" t="s">
        <v>1352</v>
      </c>
    </row>
    <row r="765" spans="1:12" x14ac:dyDescent="0.35">
      <c r="A765" s="209" t="s">
        <v>1192</v>
      </c>
      <c r="B765" s="209" t="s">
        <v>1184</v>
      </c>
      <c r="C765" t="s">
        <v>677</v>
      </c>
      <c r="D765" s="210" t="s">
        <v>1193</v>
      </c>
      <c r="F765" s="211" t="s">
        <v>1202</v>
      </c>
      <c r="I765" t="s">
        <v>78</v>
      </c>
      <c r="J765" s="175" t="str">
        <f t="shared" ref="J765:J767" si="45">CONCATENATE(I765,F765)</f>
        <v>Contemporary Crown 4766Great Bear           8237-05</v>
      </c>
      <c r="K765" t="s">
        <v>1353</v>
      </c>
    </row>
    <row r="766" spans="1:12" x14ac:dyDescent="0.35">
      <c r="A766" s="209" t="s">
        <v>1194</v>
      </c>
      <c r="B766" s="209" t="s">
        <v>1184</v>
      </c>
      <c r="C766" t="s">
        <v>677</v>
      </c>
      <c r="D766" s="210" t="s">
        <v>1195</v>
      </c>
      <c r="F766" s="211" t="s">
        <v>1203</v>
      </c>
      <c r="I766" t="s">
        <v>78</v>
      </c>
      <c r="J766" s="175" t="str">
        <f t="shared" si="45"/>
        <v>Contemporary Crown 4766Fairchild               8238-05</v>
      </c>
      <c r="K766" t="s">
        <v>1354</v>
      </c>
    </row>
    <row r="767" spans="1:12" x14ac:dyDescent="0.35">
      <c r="A767" s="209" t="s">
        <v>1196</v>
      </c>
      <c r="B767" s="209" t="s">
        <v>198</v>
      </c>
      <c r="C767" t="s">
        <v>677</v>
      </c>
      <c r="D767" s="210" t="s">
        <v>1197</v>
      </c>
      <c r="F767" s="211" t="s">
        <v>1204</v>
      </c>
      <c r="I767" t="s">
        <v>78</v>
      </c>
      <c r="J767" s="175" t="str">
        <f t="shared" si="45"/>
        <v>Contemporary Crown 4766Indigo                   D379-60</v>
      </c>
      <c r="K767" t="s">
        <v>1355</v>
      </c>
    </row>
    <row r="768" spans="1:12" x14ac:dyDescent="0.35">
      <c r="A768" s="209" t="s">
        <v>1106</v>
      </c>
      <c r="B768" s="209" t="s">
        <v>1115</v>
      </c>
      <c r="C768" t="s">
        <v>677</v>
      </c>
      <c r="D768" t="s">
        <v>880</v>
      </c>
      <c r="F768" t="s">
        <v>891</v>
      </c>
      <c r="I768" t="s">
        <v>78</v>
      </c>
      <c r="J768" s="175" t="str">
        <f t="shared" si="44"/>
        <v>Contemporary Crown 4766White Cypress    7976-79</v>
      </c>
      <c r="K768" t="s">
        <v>1084</v>
      </c>
    </row>
    <row r="769" spans="1:12" x14ac:dyDescent="0.35">
      <c r="A769" s="209" t="s">
        <v>1107</v>
      </c>
      <c r="B769" s="209" t="s">
        <v>1115</v>
      </c>
      <c r="C769" t="s">
        <v>677</v>
      </c>
      <c r="D769" t="s">
        <v>881</v>
      </c>
      <c r="F769" t="s">
        <v>892</v>
      </c>
      <c r="I769" t="s">
        <v>78</v>
      </c>
      <c r="J769" s="175" t="str">
        <f t="shared" si="44"/>
        <v>Contemporary Crown 4766Randolph Forest    8225-79</v>
      </c>
      <c r="K769" t="s">
        <v>1085</v>
      </c>
    </row>
    <row r="770" spans="1:12" x14ac:dyDescent="0.35">
      <c r="A770" s="209" t="s">
        <v>1108</v>
      </c>
      <c r="B770" s="209" t="s">
        <v>1115</v>
      </c>
      <c r="C770" t="s">
        <v>677</v>
      </c>
      <c r="D770" t="s">
        <v>882</v>
      </c>
      <c r="F770" t="s">
        <v>893</v>
      </c>
      <c r="I770" t="s">
        <v>78</v>
      </c>
      <c r="J770" s="175" t="str">
        <f t="shared" ref="J770:J778" si="46">CONCATENATE(I770,F770)</f>
        <v>Contemporary Crown 4766Dering Forest    8226-79</v>
      </c>
      <c r="K770" t="s">
        <v>1086</v>
      </c>
    </row>
    <row r="771" spans="1:12" x14ac:dyDescent="0.35">
      <c r="A771" s="209" t="s">
        <v>1109</v>
      </c>
      <c r="B771" s="209" t="s">
        <v>1115</v>
      </c>
      <c r="C771" t="s">
        <v>677</v>
      </c>
      <c r="D771" t="s">
        <v>883</v>
      </c>
      <c r="F771" t="s">
        <v>894</v>
      </c>
      <c r="I771" t="s">
        <v>78</v>
      </c>
      <c r="J771" s="175" t="str">
        <f t="shared" si="46"/>
        <v>Contemporary Crown 4766White River Forest    8227-79</v>
      </c>
      <c r="K771" t="s">
        <v>1087</v>
      </c>
    </row>
    <row r="772" spans="1:12" x14ac:dyDescent="0.35">
      <c r="A772" s="209" t="s">
        <v>1110</v>
      </c>
      <c r="B772" s="209" t="s">
        <v>1115</v>
      </c>
      <c r="C772" t="s">
        <v>677</v>
      </c>
      <c r="D772" t="s">
        <v>884</v>
      </c>
      <c r="F772" t="s">
        <v>895</v>
      </c>
      <c r="I772" t="s">
        <v>78</v>
      </c>
      <c r="J772" s="175" t="str">
        <f t="shared" si="46"/>
        <v>Contemporary Crown 4766Avondale Ash    8228-79</v>
      </c>
      <c r="K772" t="s">
        <v>1088</v>
      </c>
    </row>
    <row r="773" spans="1:12" x14ac:dyDescent="0.35">
      <c r="A773" s="209" t="s">
        <v>1111</v>
      </c>
      <c r="B773" s="209" t="s">
        <v>1115</v>
      </c>
      <c r="C773" t="s">
        <v>677</v>
      </c>
      <c r="D773" t="s">
        <v>885</v>
      </c>
      <c r="F773" t="s">
        <v>896</v>
      </c>
      <c r="I773" t="s">
        <v>78</v>
      </c>
      <c r="J773" s="175" t="str">
        <f t="shared" si="46"/>
        <v>Contemporary Crown 4766Friston Ash    8229-79</v>
      </c>
      <c r="K773" t="s">
        <v>1089</v>
      </c>
    </row>
    <row r="774" spans="1:12" x14ac:dyDescent="0.35">
      <c r="A774" s="209" t="s">
        <v>1112</v>
      </c>
      <c r="B774" s="209" t="s">
        <v>1115</v>
      </c>
      <c r="C774" t="s">
        <v>677</v>
      </c>
      <c r="D774" t="s">
        <v>886</v>
      </c>
      <c r="F774" t="s">
        <v>897</v>
      </c>
      <c r="I774" t="s">
        <v>78</v>
      </c>
      <c r="J774" s="175" t="str">
        <f t="shared" si="46"/>
        <v>Contemporary Crown 4766Valley Forge Elm    8231-79</v>
      </c>
      <c r="K774" t="s">
        <v>1090</v>
      </c>
    </row>
    <row r="775" spans="1:12" x14ac:dyDescent="0.35">
      <c r="A775" s="209" t="s">
        <v>1113</v>
      </c>
      <c r="B775" s="209" t="s">
        <v>193</v>
      </c>
      <c r="C775" t="s">
        <v>677</v>
      </c>
      <c r="D775" t="s">
        <v>887</v>
      </c>
      <c r="F775" t="s">
        <v>898</v>
      </c>
      <c r="I775" t="s">
        <v>78</v>
      </c>
      <c r="J775" s="175" t="str">
        <f t="shared" si="46"/>
        <v>Contemporary Crown 4766High Line    7970-28</v>
      </c>
      <c r="K775" t="s">
        <v>1091</v>
      </c>
    </row>
    <row r="776" spans="1:12" x14ac:dyDescent="0.35">
      <c r="A776" s="209" t="s">
        <v>183</v>
      </c>
      <c r="B776" s="209" t="s">
        <v>193</v>
      </c>
      <c r="C776" t="s">
        <v>677</v>
      </c>
      <c r="D776" t="s">
        <v>888</v>
      </c>
      <c r="F776" t="s">
        <v>899</v>
      </c>
      <c r="I776" t="s">
        <v>78</v>
      </c>
      <c r="J776" s="175" t="str">
        <f t="shared" si="46"/>
        <v>Contemporary Crown 4766Neowalnut    7991-28</v>
      </c>
      <c r="K776" t="s">
        <v>1092</v>
      </c>
    </row>
    <row r="777" spans="1:12" x14ac:dyDescent="0.35">
      <c r="A777" s="209" t="s">
        <v>1114</v>
      </c>
      <c r="B777" s="209" t="s">
        <v>193</v>
      </c>
      <c r="C777" t="s">
        <v>677</v>
      </c>
      <c r="D777" t="s">
        <v>889</v>
      </c>
      <c r="F777" t="s">
        <v>900</v>
      </c>
      <c r="I777" t="s">
        <v>78</v>
      </c>
      <c r="J777" s="175" t="str">
        <f t="shared" si="46"/>
        <v>Contemporary Crown 4766Portico Teak    8210-28</v>
      </c>
      <c r="K777" t="s">
        <v>1093</v>
      </c>
    </row>
    <row r="778" spans="1:12" x14ac:dyDescent="0.35">
      <c r="A778" s="209" t="s">
        <v>879</v>
      </c>
      <c r="B778" s="209" t="s">
        <v>198</v>
      </c>
      <c r="C778" t="s">
        <v>677</v>
      </c>
      <c r="D778" t="s">
        <v>890</v>
      </c>
      <c r="F778" t="s">
        <v>901</v>
      </c>
      <c r="I778" t="s">
        <v>78</v>
      </c>
      <c r="J778" s="175" t="str">
        <f t="shared" si="46"/>
        <v>Contemporary Crown 4766Pepperdust    D327-60</v>
      </c>
      <c r="K778" t="s">
        <v>1094</v>
      </c>
    </row>
    <row r="779" spans="1:12" x14ac:dyDescent="0.35">
      <c r="A779" s="209" t="s">
        <v>230</v>
      </c>
      <c r="B779" s="209" t="s">
        <v>165</v>
      </c>
      <c r="C779" t="s">
        <v>677</v>
      </c>
      <c r="D779" t="s">
        <v>231</v>
      </c>
      <c r="F779" t="s">
        <v>12</v>
      </c>
      <c r="I779" t="s">
        <v>78</v>
      </c>
      <c r="J779" s="175" t="str">
        <f t="shared" si="44"/>
        <v>Contemporary Crown 4766Columbian Walnut  7943-07</v>
      </c>
      <c r="K779" t="s">
        <v>746</v>
      </c>
      <c r="L779" t="s">
        <v>831</v>
      </c>
    </row>
    <row r="780" spans="1:12" x14ac:dyDescent="0.35">
      <c r="A780" s="209" t="s">
        <v>234</v>
      </c>
      <c r="B780" s="209" t="s">
        <v>184</v>
      </c>
      <c r="C780" t="s">
        <v>677</v>
      </c>
      <c r="D780" t="s">
        <v>235</v>
      </c>
      <c r="F780" t="s">
        <v>131</v>
      </c>
      <c r="I780" t="s">
        <v>78</v>
      </c>
      <c r="J780" s="175" t="str">
        <f t="shared" si="44"/>
        <v>Contemporary Crown 4766Florence Walnut    7993-38</v>
      </c>
      <c r="K780" t="s">
        <v>747</v>
      </c>
      <c r="L780" t="s">
        <v>832</v>
      </c>
    </row>
    <row r="781" spans="1:12" x14ac:dyDescent="0.35">
      <c r="A781" s="209" t="s">
        <v>164</v>
      </c>
      <c r="B781" s="209" t="s">
        <v>165</v>
      </c>
      <c r="C781" t="s">
        <v>677</v>
      </c>
      <c r="D781" t="s">
        <v>167</v>
      </c>
      <c r="F781" t="s">
        <v>132</v>
      </c>
      <c r="I781" t="s">
        <v>1117</v>
      </c>
      <c r="J781" s="175" t="str">
        <f t="shared" si="44"/>
        <v>Quarter Round 5174Shaker Cherry       7935-07</v>
      </c>
      <c r="K781" t="s">
        <v>1118</v>
      </c>
    </row>
    <row r="782" spans="1:12" x14ac:dyDescent="0.35">
      <c r="A782" s="209" t="s">
        <v>170</v>
      </c>
      <c r="B782" s="209" t="s">
        <v>165</v>
      </c>
      <c r="C782" t="s">
        <v>677</v>
      </c>
      <c r="D782" t="s">
        <v>171</v>
      </c>
      <c r="F782" t="s">
        <v>133</v>
      </c>
      <c r="I782" t="s">
        <v>1117</v>
      </c>
      <c r="J782" s="175" t="str">
        <f t="shared" si="44"/>
        <v>Quarter Round 5174Cafelle 7933-07</v>
      </c>
      <c r="K782" t="s">
        <v>1119</v>
      </c>
    </row>
    <row r="783" spans="1:12" x14ac:dyDescent="0.35">
      <c r="A783" s="209" t="s">
        <v>174</v>
      </c>
      <c r="B783" s="209" t="s">
        <v>175</v>
      </c>
      <c r="C783" t="s">
        <v>677</v>
      </c>
      <c r="D783" t="s">
        <v>176</v>
      </c>
      <c r="F783" t="s">
        <v>123</v>
      </c>
      <c r="I783" t="s">
        <v>1117</v>
      </c>
      <c r="J783" s="175" t="str">
        <f t="shared" si="44"/>
        <v>Quarter Round 5174White Driftwood      8200-16</v>
      </c>
      <c r="K783" t="s">
        <v>1120</v>
      </c>
    </row>
    <row r="784" spans="1:12" x14ac:dyDescent="0.35">
      <c r="A784" s="209" t="s">
        <v>179</v>
      </c>
      <c r="B784" s="209" t="s">
        <v>175</v>
      </c>
      <c r="C784" t="s">
        <v>677</v>
      </c>
      <c r="D784" t="s">
        <v>180</v>
      </c>
      <c r="F784" t="s">
        <v>124</v>
      </c>
      <c r="I784" t="s">
        <v>1117</v>
      </c>
      <c r="J784" s="175" t="str">
        <f t="shared" si="44"/>
        <v>Quarter Round 5174Weathered Char     8204-16</v>
      </c>
      <c r="K784" t="s">
        <v>1121</v>
      </c>
    </row>
    <row r="785" spans="1:11" x14ac:dyDescent="0.35">
      <c r="A785" s="209" t="s">
        <v>183</v>
      </c>
      <c r="B785" s="209" t="s">
        <v>184</v>
      </c>
      <c r="C785" t="s">
        <v>677</v>
      </c>
      <c r="D785" t="s">
        <v>185</v>
      </c>
      <c r="F785" t="s">
        <v>134</v>
      </c>
      <c r="I785" t="s">
        <v>1117</v>
      </c>
      <c r="J785" s="175" t="str">
        <f t="shared" si="44"/>
        <v>Quarter Round 5174Neowalnut 7991-38</v>
      </c>
      <c r="K785" t="s">
        <v>1122</v>
      </c>
    </row>
    <row r="786" spans="1:11" x14ac:dyDescent="0.35">
      <c r="A786" s="209" t="s">
        <v>188</v>
      </c>
      <c r="B786" s="209" t="s">
        <v>184</v>
      </c>
      <c r="C786" t="s">
        <v>677</v>
      </c>
      <c r="D786" t="s">
        <v>189</v>
      </c>
      <c r="F786" t="s">
        <v>135</v>
      </c>
      <c r="I786" t="s">
        <v>1117</v>
      </c>
      <c r="J786" s="175" t="str">
        <f t="shared" si="44"/>
        <v>Quarter Round 5174Ebony Recon        7997-38</v>
      </c>
      <c r="K786" t="s">
        <v>1123</v>
      </c>
    </row>
    <row r="787" spans="1:11" x14ac:dyDescent="0.35">
      <c r="A787" s="209" t="s">
        <v>192</v>
      </c>
      <c r="B787" s="209" t="s">
        <v>193</v>
      </c>
      <c r="C787" t="s">
        <v>677</v>
      </c>
      <c r="D787" t="s">
        <v>194</v>
      </c>
      <c r="F787" t="s">
        <v>36</v>
      </c>
      <c r="I787" t="s">
        <v>1117</v>
      </c>
      <c r="J787" s="175" t="str">
        <f t="shared" si="44"/>
        <v>Quarter Round 5174Phantom Charcoal  8214-28</v>
      </c>
      <c r="K787" t="s">
        <v>1124</v>
      </c>
    </row>
    <row r="788" spans="1:11" x14ac:dyDescent="0.35">
      <c r="A788" s="209" t="s">
        <v>197</v>
      </c>
      <c r="B788" s="209" t="s">
        <v>198</v>
      </c>
      <c r="C788" t="s">
        <v>677</v>
      </c>
      <c r="D788" t="s">
        <v>199</v>
      </c>
      <c r="F788" t="s">
        <v>11</v>
      </c>
      <c r="I788" t="s">
        <v>1117</v>
      </c>
      <c r="J788" s="175" t="str">
        <f t="shared" si="44"/>
        <v>Quarter Round 5174Linen  D427-60</v>
      </c>
      <c r="K788" t="s">
        <v>1125</v>
      </c>
    </row>
    <row r="789" spans="1:11" x14ac:dyDescent="0.35">
      <c r="A789" s="209" t="s">
        <v>202</v>
      </c>
      <c r="B789" s="209" t="s">
        <v>193</v>
      </c>
      <c r="C789" t="s">
        <v>677</v>
      </c>
      <c r="D789" t="s">
        <v>203</v>
      </c>
      <c r="F789" t="s">
        <v>136</v>
      </c>
      <c r="I789" t="s">
        <v>1117</v>
      </c>
      <c r="J789" s="175" t="str">
        <f t="shared" si="44"/>
        <v>Quarter Round 5174Phantom Pearl      8211-28</v>
      </c>
      <c r="K789" t="s">
        <v>1126</v>
      </c>
    </row>
    <row r="790" spans="1:11" x14ac:dyDescent="0.35">
      <c r="A790" s="209" t="s">
        <v>206</v>
      </c>
      <c r="B790" s="209" t="s">
        <v>193</v>
      </c>
      <c r="C790" t="s">
        <v>677</v>
      </c>
      <c r="D790" t="s">
        <v>207</v>
      </c>
      <c r="F790" t="s">
        <v>125</v>
      </c>
      <c r="I790" t="s">
        <v>1117</v>
      </c>
      <c r="J790" s="175" t="str">
        <f t="shared" si="44"/>
        <v>Quarter Round 5174Veranda Teak        8209-28</v>
      </c>
      <c r="K790" t="s">
        <v>1127</v>
      </c>
    </row>
    <row r="791" spans="1:11" x14ac:dyDescent="0.35">
      <c r="A791" s="209" t="s">
        <v>210</v>
      </c>
      <c r="B791" s="209" t="s">
        <v>175</v>
      </c>
      <c r="C791" t="s">
        <v>677</v>
      </c>
      <c r="D791" t="s">
        <v>211</v>
      </c>
      <c r="F791" t="s">
        <v>126</v>
      </c>
      <c r="I791" t="s">
        <v>1117</v>
      </c>
      <c r="J791" s="175" t="str">
        <f t="shared" si="44"/>
        <v>Quarter Round 5174Branded Oak         8207-16</v>
      </c>
      <c r="K791" t="s">
        <v>1128</v>
      </c>
    </row>
    <row r="792" spans="1:11" x14ac:dyDescent="0.35">
      <c r="A792" s="209" t="s">
        <v>214</v>
      </c>
      <c r="B792" s="209" t="s">
        <v>175</v>
      </c>
      <c r="C792" t="s">
        <v>677</v>
      </c>
      <c r="D792" t="s">
        <v>215</v>
      </c>
      <c r="F792" t="s">
        <v>127</v>
      </c>
      <c r="I792" t="s">
        <v>1117</v>
      </c>
      <c r="J792" s="175" t="str">
        <f t="shared" si="44"/>
        <v>Quarter Round 5174Saddle Oak           8206-16</v>
      </c>
      <c r="K792" t="s">
        <v>1129</v>
      </c>
    </row>
    <row r="793" spans="1:11" x14ac:dyDescent="0.35">
      <c r="A793" s="209" t="s">
        <v>218</v>
      </c>
      <c r="B793" s="209" t="s">
        <v>193</v>
      </c>
      <c r="C793" t="s">
        <v>677</v>
      </c>
      <c r="D793" t="s">
        <v>219</v>
      </c>
      <c r="F793" t="s">
        <v>129</v>
      </c>
      <c r="I793" t="s">
        <v>1117</v>
      </c>
      <c r="J793" s="175" t="str">
        <f t="shared" si="44"/>
        <v>Quarter Round 5174Phantom Ecru       8212-28</v>
      </c>
      <c r="K793" t="s">
        <v>1130</v>
      </c>
    </row>
    <row r="794" spans="1:11" x14ac:dyDescent="0.35">
      <c r="A794" s="209" t="s">
        <v>222</v>
      </c>
      <c r="B794" s="209" t="s">
        <v>175</v>
      </c>
      <c r="C794" t="s">
        <v>677</v>
      </c>
      <c r="D794" t="s">
        <v>223</v>
      </c>
      <c r="F794" t="s">
        <v>128</v>
      </c>
      <c r="I794" t="s">
        <v>1117</v>
      </c>
      <c r="J794" s="175" t="str">
        <f t="shared" si="44"/>
        <v>Quarter Round 5174Fawn Cypress       8208-16</v>
      </c>
      <c r="K794" t="s">
        <v>1131</v>
      </c>
    </row>
    <row r="795" spans="1:11" x14ac:dyDescent="0.35">
      <c r="A795" s="209" t="s">
        <v>226</v>
      </c>
      <c r="B795" s="209" t="s">
        <v>184</v>
      </c>
      <c r="C795" t="s">
        <v>677</v>
      </c>
      <c r="D795" t="s">
        <v>227</v>
      </c>
      <c r="F795" t="s">
        <v>130</v>
      </c>
      <c r="I795" t="s">
        <v>1117</v>
      </c>
      <c r="J795" s="175" t="str">
        <f t="shared" si="44"/>
        <v>Quarter Round 5174River Cherry          7937-38</v>
      </c>
      <c r="K795" t="s">
        <v>1132</v>
      </c>
    </row>
    <row r="796" spans="1:11" x14ac:dyDescent="0.35">
      <c r="A796" s="209" t="s">
        <v>1183</v>
      </c>
      <c r="B796" s="209" t="s">
        <v>1184</v>
      </c>
      <c r="C796" t="s">
        <v>677</v>
      </c>
      <c r="D796" s="210" t="s">
        <v>1185</v>
      </c>
      <c r="F796" s="211" t="s">
        <v>1201</v>
      </c>
      <c r="I796" t="s">
        <v>1117</v>
      </c>
      <c r="J796" s="175" t="str">
        <f t="shared" ref="J796:J802" si="47">CONCATENATE(I796,F796)</f>
        <v>Quarter Round 5174Akira                     8233-05</v>
      </c>
      <c r="K796" t="s">
        <v>1356</v>
      </c>
    </row>
    <row r="797" spans="1:11" x14ac:dyDescent="0.35">
      <c r="A797" s="209" t="s">
        <v>1186</v>
      </c>
      <c r="B797" s="209" t="s">
        <v>1184</v>
      </c>
      <c r="C797" t="s">
        <v>677</v>
      </c>
      <c r="D797" s="210" t="s">
        <v>1187</v>
      </c>
      <c r="F797" s="211" t="s">
        <v>1200</v>
      </c>
      <c r="I797" t="s">
        <v>1117</v>
      </c>
      <c r="J797" s="175" t="str">
        <f t="shared" si="47"/>
        <v>Quarter Round 5174Belair                    8234-05</v>
      </c>
      <c r="K797" t="s">
        <v>1357</v>
      </c>
    </row>
    <row r="798" spans="1:11" x14ac:dyDescent="0.35">
      <c r="A798" s="209" t="s">
        <v>1188</v>
      </c>
      <c r="B798" s="209" t="s">
        <v>1184</v>
      </c>
      <c r="C798" t="s">
        <v>677</v>
      </c>
      <c r="D798" s="210" t="s">
        <v>1189</v>
      </c>
      <c r="F798" s="211" t="s">
        <v>1198</v>
      </c>
      <c r="I798" t="s">
        <v>1117</v>
      </c>
      <c r="J798" s="175" t="str">
        <f t="shared" si="47"/>
        <v>Quarter Round 5174Daintree               8235-05</v>
      </c>
      <c r="K798" t="s">
        <v>1358</v>
      </c>
    </row>
    <row r="799" spans="1:11" x14ac:dyDescent="0.35">
      <c r="A799" s="209" t="s">
        <v>1190</v>
      </c>
      <c r="B799" s="209" t="s">
        <v>1184</v>
      </c>
      <c r="C799" t="s">
        <v>677</v>
      </c>
      <c r="D799" s="210" t="s">
        <v>1191</v>
      </c>
      <c r="F799" s="211" t="s">
        <v>1199</v>
      </c>
      <c r="I799" t="s">
        <v>1117</v>
      </c>
      <c r="J799" s="175" t="str">
        <f t="shared" si="47"/>
        <v>Quarter Round 5174Monteverdi          8236-05</v>
      </c>
      <c r="K799" t="s">
        <v>1359</v>
      </c>
    </row>
    <row r="800" spans="1:11" x14ac:dyDescent="0.35">
      <c r="A800" s="209" t="s">
        <v>1192</v>
      </c>
      <c r="B800" s="209" t="s">
        <v>1184</v>
      </c>
      <c r="C800" t="s">
        <v>677</v>
      </c>
      <c r="D800" s="210" t="s">
        <v>1193</v>
      </c>
      <c r="F800" s="211" t="s">
        <v>1202</v>
      </c>
      <c r="I800" t="s">
        <v>1117</v>
      </c>
      <c r="J800" s="175" t="str">
        <f t="shared" si="47"/>
        <v>Quarter Round 5174Great Bear           8237-05</v>
      </c>
      <c r="K800" t="s">
        <v>1360</v>
      </c>
    </row>
    <row r="801" spans="1:11" x14ac:dyDescent="0.35">
      <c r="A801" s="209" t="s">
        <v>1194</v>
      </c>
      <c r="B801" s="209" t="s">
        <v>1184</v>
      </c>
      <c r="C801" t="s">
        <v>677</v>
      </c>
      <c r="D801" s="210" t="s">
        <v>1195</v>
      </c>
      <c r="F801" s="211" t="s">
        <v>1203</v>
      </c>
      <c r="I801" t="s">
        <v>1117</v>
      </c>
      <c r="J801" s="175" t="str">
        <f t="shared" si="47"/>
        <v>Quarter Round 5174Fairchild               8238-05</v>
      </c>
      <c r="K801" t="s">
        <v>1361</v>
      </c>
    </row>
    <row r="802" spans="1:11" x14ac:dyDescent="0.35">
      <c r="A802" s="209" t="s">
        <v>1196</v>
      </c>
      <c r="B802" s="209" t="s">
        <v>198</v>
      </c>
      <c r="C802" t="s">
        <v>677</v>
      </c>
      <c r="D802" s="210" t="s">
        <v>1197</v>
      </c>
      <c r="F802" s="211" t="s">
        <v>1204</v>
      </c>
      <c r="I802" t="s">
        <v>1117</v>
      </c>
      <c r="J802" s="175" t="str">
        <f t="shared" si="47"/>
        <v>Quarter Round 5174Indigo                   D379-60</v>
      </c>
      <c r="K802" t="s">
        <v>1362</v>
      </c>
    </row>
    <row r="803" spans="1:11" x14ac:dyDescent="0.35">
      <c r="A803" s="209" t="s">
        <v>1106</v>
      </c>
      <c r="B803" s="209" t="s">
        <v>1115</v>
      </c>
      <c r="C803" t="s">
        <v>677</v>
      </c>
      <c r="D803" t="s">
        <v>880</v>
      </c>
      <c r="F803" t="s">
        <v>891</v>
      </c>
      <c r="I803" t="s">
        <v>1117</v>
      </c>
      <c r="J803" s="175" t="str">
        <f t="shared" si="44"/>
        <v>Quarter Round 5174White Cypress    7976-79</v>
      </c>
      <c r="K803" t="s">
        <v>1133</v>
      </c>
    </row>
    <row r="804" spans="1:11" x14ac:dyDescent="0.35">
      <c r="A804" s="209" t="s">
        <v>1107</v>
      </c>
      <c r="B804" s="209" t="s">
        <v>1115</v>
      </c>
      <c r="C804" t="s">
        <v>677</v>
      </c>
      <c r="D804" t="s">
        <v>881</v>
      </c>
      <c r="F804" t="s">
        <v>892</v>
      </c>
      <c r="I804" t="s">
        <v>1117</v>
      </c>
      <c r="J804" s="175" t="str">
        <f t="shared" si="44"/>
        <v>Quarter Round 5174Randolph Forest    8225-79</v>
      </c>
      <c r="K804" t="s">
        <v>1134</v>
      </c>
    </row>
    <row r="805" spans="1:11" x14ac:dyDescent="0.35">
      <c r="A805" s="209" t="s">
        <v>1108</v>
      </c>
      <c r="B805" s="209" t="s">
        <v>1115</v>
      </c>
      <c r="C805" t="s">
        <v>677</v>
      </c>
      <c r="D805" t="s">
        <v>882</v>
      </c>
      <c r="F805" t="s">
        <v>893</v>
      </c>
      <c r="I805" t="s">
        <v>1117</v>
      </c>
      <c r="J805" s="175" t="str">
        <f t="shared" si="44"/>
        <v>Quarter Round 5174Dering Forest    8226-79</v>
      </c>
      <c r="K805" t="s">
        <v>1135</v>
      </c>
    </row>
    <row r="806" spans="1:11" x14ac:dyDescent="0.35">
      <c r="A806" s="209" t="s">
        <v>1109</v>
      </c>
      <c r="B806" s="209" t="s">
        <v>1115</v>
      </c>
      <c r="C806" t="s">
        <v>677</v>
      </c>
      <c r="D806" t="s">
        <v>883</v>
      </c>
      <c r="F806" t="s">
        <v>894</v>
      </c>
      <c r="I806" t="s">
        <v>1117</v>
      </c>
      <c r="J806" s="175" t="str">
        <f t="shared" si="44"/>
        <v>Quarter Round 5174White River Forest    8227-79</v>
      </c>
      <c r="K806" t="s">
        <v>1136</v>
      </c>
    </row>
    <row r="807" spans="1:11" x14ac:dyDescent="0.35">
      <c r="A807" s="209" t="s">
        <v>1110</v>
      </c>
      <c r="B807" s="209" t="s">
        <v>1115</v>
      </c>
      <c r="C807" t="s">
        <v>677</v>
      </c>
      <c r="D807" t="s">
        <v>884</v>
      </c>
      <c r="F807" t="s">
        <v>895</v>
      </c>
      <c r="I807" t="s">
        <v>1117</v>
      </c>
      <c r="J807" s="175" t="str">
        <f t="shared" si="44"/>
        <v>Quarter Round 5174Avondale Ash    8228-79</v>
      </c>
      <c r="K807" t="s">
        <v>1137</v>
      </c>
    </row>
    <row r="808" spans="1:11" x14ac:dyDescent="0.35">
      <c r="A808" s="209" t="s">
        <v>1111</v>
      </c>
      <c r="B808" s="209" t="s">
        <v>1115</v>
      </c>
      <c r="C808" t="s">
        <v>677</v>
      </c>
      <c r="D808" t="s">
        <v>885</v>
      </c>
      <c r="F808" t="s">
        <v>896</v>
      </c>
      <c r="I808" t="s">
        <v>1117</v>
      </c>
      <c r="J808" s="175" t="str">
        <f t="shared" si="44"/>
        <v>Quarter Round 5174Friston Ash    8229-79</v>
      </c>
      <c r="K808" t="s">
        <v>1138</v>
      </c>
    </row>
    <row r="809" spans="1:11" x14ac:dyDescent="0.35">
      <c r="A809" s="209" t="s">
        <v>1112</v>
      </c>
      <c r="B809" s="209" t="s">
        <v>1115</v>
      </c>
      <c r="C809" t="s">
        <v>677</v>
      </c>
      <c r="D809" t="s">
        <v>886</v>
      </c>
      <c r="F809" t="s">
        <v>897</v>
      </c>
      <c r="I809" t="s">
        <v>1117</v>
      </c>
      <c r="J809" s="175" t="str">
        <f t="shared" si="44"/>
        <v>Quarter Round 5174Valley Forge Elm    8231-79</v>
      </c>
      <c r="K809" t="s">
        <v>1139</v>
      </c>
    </row>
    <row r="810" spans="1:11" x14ac:dyDescent="0.35">
      <c r="A810" s="209" t="s">
        <v>1113</v>
      </c>
      <c r="B810" s="209" t="s">
        <v>193</v>
      </c>
      <c r="C810" t="s">
        <v>677</v>
      </c>
      <c r="D810" t="s">
        <v>887</v>
      </c>
      <c r="F810" t="s">
        <v>898</v>
      </c>
      <c r="I810" t="s">
        <v>1117</v>
      </c>
      <c r="J810" s="175" t="str">
        <f t="shared" si="44"/>
        <v>Quarter Round 5174High Line    7970-28</v>
      </c>
      <c r="K810" t="s">
        <v>1140</v>
      </c>
    </row>
    <row r="811" spans="1:11" x14ac:dyDescent="0.35">
      <c r="A811" s="209" t="s">
        <v>183</v>
      </c>
      <c r="B811" s="209" t="s">
        <v>193</v>
      </c>
      <c r="C811" t="s">
        <v>677</v>
      </c>
      <c r="D811" t="s">
        <v>888</v>
      </c>
      <c r="F811" t="s">
        <v>899</v>
      </c>
      <c r="I811" t="s">
        <v>1117</v>
      </c>
      <c r="J811" s="175" t="str">
        <f t="shared" si="44"/>
        <v>Quarter Round 5174Neowalnut    7991-28</v>
      </c>
      <c r="K811" t="s">
        <v>1141</v>
      </c>
    </row>
    <row r="812" spans="1:11" x14ac:dyDescent="0.35">
      <c r="A812" s="209" t="s">
        <v>1114</v>
      </c>
      <c r="B812" s="209" t="s">
        <v>193</v>
      </c>
      <c r="C812" t="s">
        <v>677</v>
      </c>
      <c r="D812" t="s">
        <v>889</v>
      </c>
      <c r="F812" t="s">
        <v>900</v>
      </c>
      <c r="I812" t="s">
        <v>1117</v>
      </c>
      <c r="J812" s="175" t="str">
        <f t="shared" si="44"/>
        <v>Quarter Round 5174Portico Teak    8210-28</v>
      </c>
      <c r="K812" t="s">
        <v>1142</v>
      </c>
    </row>
    <row r="813" spans="1:11" x14ac:dyDescent="0.35">
      <c r="A813" s="209" t="s">
        <v>879</v>
      </c>
      <c r="B813" s="209" t="s">
        <v>198</v>
      </c>
      <c r="C813" t="s">
        <v>677</v>
      </c>
      <c r="D813" t="s">
        <v>890</v>
      </c>
      <c r="F813" t="s">
        <v>901</v>
      </c>
      <c r="I813" t="s">
        <v>1117</v>
      </c>
      <c r="J813" s="175" t="str">
        <f t="shared" si="44"/>
        <v>Quarter Round 5174Pepperdust    D327-60</v>
      </c>
      <c r="K813" t="s">
        <v>1143</v>
      </c>
    </row>
    <row r="814" spans="1:11" x14ac:dyDescent="0.35">
      <c r="A814" s="209" t="s">
        <v>230</v>
      </c>
      <c r="B814" s="209" t="s">
        <v>165</v>
      </c>
      <c r="C814" t="s">
        <v>677</v>
      </c>
      <c r="D814" t="s">
        <v>231</v>
      </c>
      <c r="F814" t="s">
        <v>12</v>
      </c>
      <c r="I814" t="s">
        <v>1117</v>
      </c>
      <c r="J814" s="175" t="str">
        <f t="shared" si="44"/>
        <v>Quarter Round 5174Columbian Walnut  7943-07</v>
      </c>
      <c r="K814" t="s">
        <v>1144</v>
      </c>
    </row>
    <row r="815" spans="1:11" x14ac:dyDescent="0.35">
      <c r="A815" s="209" t="s">
        <v>234</v>
      </c>
      <c r="B815" s="209" t="s">
        <v>184</v>
      </c>
      <c r="C815" t="s">
        <v>677</v>
      </c>
      <c r="D815" t="s">
        <v>235</v>
      </c>
      <c r="F815" t="s">
        <v>131</v>
      </c>
      <c r="I815" t="s">
        <v>1117</v>
      </c>
      <c r="J815" s="175" t="str">
        <f t="shared" si="44"/>
        <v>Quarter Round 5174Florence Walnut    7993-38</v>
      </c>
      <c r="K815" t="s">
        <v>1145</v>
      </c>
    </row>
    <row r="816" spans="1:11" x14ac:dyDescent="0.35">
      <c r="A816" s="209" t="s">
        <v>164</v>
      </c>
      <c r="B816" s="209" t="s">
        <v>165</v>
      </c>
      <c r="C816" t="s">
        <v>677</v>
      </c>
      <c r="D816" t="s">
        <v>167</v>
      </c>
      <c r="F816" t="s">
        <v>132</v>
      </c>
      <c r="I816" t="s">
        <v>1146</v>
      </c>
      <c r="J816" s="175" t="str">
        <f t="shared" ref="J816:J850" si="48">CONCATENATE(I816,F816)</f>
        <v>Shoe Molding 4938Shaker Cherry       7935-07</v>
      </c>
      <c r="K816" t="s">
        <v>1147</v>
      </c>
    </row>
    <row r="817" spans="1:11" x14ac:dyDescent="0.35">
      <c r="A817" s="209" t="s">
        <v>170</v>
      </c>
      <c r="B817" s="209" t="s">
        <v>165</v>
      </c>
      <c r="C817" t="s">
        <v>677</v>
      </c>
      <c r="D817" t="s">
        <v>171</v>
      </c>
      <c r="F817" t="s">
        <v>133</v>
      </c>
      <c r="I817" t="s">
        <v>1146</v>
      </c>
      <c r="J817" s="175" t="str">
        <f t="shared" si="48"/>
        <v>Shoe Molding 4938Cafelle 7933-07</v>
      </c>
      <c r="K817" t="s">
        <v>1148</v>
      </c>
    </row>
    <row r="818" spans="1:11" x14ac:dyDescent="0.35">
      <c r="A818" s="209" t="s">
        <v>174</v>
      </c>
      <c r="B818" s="209" t="s">
        <v>175</v>
      </c>
      <c r="C818" t="s">
        <v>677</v>
      </c>
      <c r="D818" t="s">
        <v>176</v>
      </c>
      <c r="F818" t="s">
        <v>123</v>
      </c>
      <c r="I818" t="s">
        <v>1146</v>
      </c>
      <c r="J818" s="175" t="str">
        <f t="shared" si="48"/>
        <v>Shoe Molding 4938White Driftwood      8200-16</v>
      </c>
      <c r="K818" t="s">
        <v>1149</v>
      </c>
    </row>
    <row r="819" spans="1:11" x14ac:dyDescent="0.35">
      <c r="A819" s="209" t="s">
        <v>179</v>
      </c>
      <c r="B819" s="209" t="s">
        <v>175</v>
      </c>
      <c r="C819" t="s">
        <v>677</v>
      </c>
      <c r="D819" t="s">
        <v>180</v>
      </c>
      <c r="F819" t="s">
        <v>124</v>
      </c>
      <c r="I819" t="s">
        <v>1146</v>
      </c>
      <c r="J819" s="175" t="str">
        <f t="shared" si="48"/>
        <v>Shoe Molding 4938Weathered Char     8204-16</v>
      </c>
      <c r="K819" t="s">
        <v>1150</v>
      </c>
    </row>
    <row r="820" spans="1:11" x14ac:dyDescent="0.35">
      <c r="A820" s="209" t="s">
        <v>183</v>
      </c>
      <c r="B820" s="209" t="s">
        <v>184</v>
      </c>
      <c r="C820" t="s">
        <v>677</v>
      </c>
      <c r="D820" t="s">
        <v>185</v>
      </c>
      <c r="F820" t="s">
        <v>134</v>
      </c>
      <c r="I820" t="s">
        <v>1146</v>
      </c>
      <c r="J820" s="175" t="str">
        <f t="shared" si="48"/>
        <v>Shoe Molding 4938Neowalnut 7991-38</v>
      </c>
      <c r="K820" t="s">
        <v>1151</v>
      </c>
    </row>
    <row r="821" spans="1:11" x14ac:dyDescent="0.35">
      <c r="A821" s="209" t="s">
        <v>188</v>
      </c>
      <c r="B821" s="209" t="s">
        <v>184</v>
      </c>
      <c r="C821" t="s">
        <v>677</v>
      </c>
      <c r="D821" t="s">
        <v>189</v>
      </c>
      <c r="F821" t="s">
        <v>135</v>
      </c>
      <c r="I821" t="s">
        <v>1146</v>
      </c>
      <c r="J821" s="175" t="str">
        <f t="shared" si="48"/>
        <v>Shoe Molding 4938Ebony Recon        7997-38</v>
      </c>
      <c r="K821" t="s">
        <v>1152</v>
      </c>
    </row>
    <row r="822" spans="1:11" x14ac:dyDescent="0.35">
      <c r="A822" s="209" t="s">
        <v>192</v>
      </c>
      <c r="B822" s="209" t="s">
        <v>193</v>
      </c>
      <c r="C822" t="s">
        <v>677</v>
      </c>
      <c r="D822" t="s">
        <v>194</v>
      </c>
      <c r="F822" t="s">
        <v>36</v>
      </c>
      <c r="I822" t="s">
        <v>1146</v>
      </c>
      <c r="J822" s="175" t="str">
        <f t="shared" si="48"/>
        <v>Shoe Molding 4938Phantom Charcoal  8214-28</v>
      </c>
      <c r="K822" t="s">
        <v>1153</v>
      </c>
    </row>
    <row r="823" spans="1:11" x14ac:dyDescent="0.35">
      <c r="A823" s="209" t="s">
        <v>197</v>
      </c>
      <c r="B823" s="209" t="s">
        <v>198</v>
      </c>
      <c r="C823" t="s">
        <v>677</v>
      </c>
      <c r="D823" t="s">
        <v>199</v>
      </c>
      <c r="F823" t="s">
        <v>11</v>
      </c>
      <c r="I823" t="s">
        <v>1146</v>
      </c>
      <c r="J823" s="175" t="str">
        <f t="shared" si="48"/>
        <v>Shoe Molding 4938Linen  D427-60</v>
      </c>
      <c r="K823" t="s">
        <v>1154</v>
      </c>
    </row>
    <row r="824" spans="1:11" x14ac:dyDescent="0.35">
      <c r="A824" s="209" t="s">
        <v>202</v>
      </c>
      <c r="B824" s="209" t="s">
        <v>193</v>
      </c>
      <c r="C824" t="s">
        <v>677</v>
      </c>
      <c r="D824" t="s">
        <v>203</v>
      </c>
      <c r="F824" t="s">
        <v>136</v>
      </c>
      <c r="I824" t="s">
        <v>1146</v>
      </c>
      <c r="J824" s="175" t="str">
        <f t="shared" si="48"/>
        <v>Shoe Molding 4938Phantom Pearl      8211-28</v>
      </c>
      <c r="K824" t="s">
        <v>1155</v>
      </c>
    </row>
    <row r="825" spans="1:11" x14ac:dyDescent="0.35">
      <c r="A825" s="209" t="s">
        <v>206</v>
      </c>
      <c r="B825" s="209" t="s">
        <v>193</v>
      </c>
      <c r="C825" t="s">
        <v>677</v>
      </c>
      <c r="D825" t="s">
        <v>207</v>
      </c>
      <c r="F825" t="s">
        <v>125</v>
      </c>
      <c r="I825" t="s">
        <v>1146</v>
      </c>
      <c r="J825" s="175" t="str">
        <f t="shared" si="48"/>
        <v>Shoe Molding 4938Veranda Teak        8209-28</v>
      </c>
      <c r="K825" t="s">
        <v>1156</v>
      </c>
    </row>
    <row r="826" spans="1:11" x14ac:dyDescent="0.35">
      <c r="A826" s="209" t="s">
        <v>210</v>
      </c>
      <c r="B826" s="209" t="s">
        <v>175</v>
      </c>
      <c r="C826" t="s">
        <v>677</v>
      </c>
      <c r="D826" t="s">
        <v>211</v>
      </c>
      <c r="F826" t="s">
        <v>126</v>
      </c>
      <c r="I826" t="s">
        <v>1146</v>
      </c>
      <c r="J826" s="175" t="str">
        <f t="shared" si="48"/>
        <v>Shoe Molding 4938Branded Oak         8207-16</v>
      </c>
      <c r="K826" t="s">
        <v>1157</v>
      </c>
    </row>
    <row r="827" spans="1:11" x14ac:dyDescent="0.35">
      <c r="A827" s="209" t="s">
        <v>214</v>
      </c>
      <c r="B827" s="209" t="s">
        <v>175</v>
      </c>
      <c r="C827" t="s">
        <v>677</v>
      </c>
      <c r="D827" t="s">
        <v>215</v>
      </c>
      <c r="F827" t="s">
        <v>127</v>
      </c>
      <c r="I827" t="s">
        <v>1146</v>
      </c>
      <c r="J827" s="175" t="str">
        <f t="shared" si="48"/>
        <v>Shoe Molding 4938Saddle Oak           8206-16</v>
      </c>
      <c r="K827" t="s">
        <v>1158</v>
      </c>
    </row>
    <row r="828" spans="1:11" x14ac:dyDescent="0.35">
      <c r="A828" s="209" t="s">
        <v>218</v>
      </c>
      <c r="B828" s="209" t="s">
        <v>193</v>
      </c>
      <c r="C828" t="s">
        <v>677</v>
      </c>
      <c r="D828" t="s">
        <v>219</v>
      </c>
      <c r="F828" t="s">
        <v>129</v>
      </c>
      <c r="I828" t="s">
        <v>1146</v>
      </c>
      <c r="J828" s="175" t="str">
        <f t="shared" si="48"/>
        <v>Shoe Molding 4938Phantom Ecru       8212-28</v>
      </c>
      <c r="K828" t="s">
        <v>1159</v>
      </c>
    </row>
    <row r="829" spans="1:11" x14ac:dyDescent="0.35">
      <c r="A829" s="209" t="s">
        <v>222</v>
      </c>
      <c r="B829" s="209" t="s">
        <v>175</v>
      </c>
      <c r="C829" t="s">
        <v>677</v>
      </c>
      <c r="D829" t="s">
        <v>223</v>
      </c>
      <c r="F829" t="s">
        <v>128</v>
      </c>
      <c r="I829" t="s">
        <v>1146</v>
      </c>
      <c r="J829" s="175" t="str">
        <f t="shared" si="48"/>
        <v>Shoe Molding 4938Fawn Cypress       8208-16</v>
      </c>
      <c r="K829" t="s">
        <v>1160</v>
      </c>
    </row>
    <row r="830" spans="1:11" x14ac:dyDescent="0.35">
      <c r="A830" s="209" t="s">
        <v>226</v>
      </c>
      <c r="B830" s="209" t="s">
        <v>184</v>
      </c>
      <c r="C830" t="s">
        <v>677</v>
      </c>
      <c r="D830" t="s">
        <v>227</v>
      </c>
      <c r="F830" t="s">
        <v>130</v>
      </c>
      <c r="I830" t="s">
        <v>1146</v>
      </c>
      <c r="J830" s="175" t="str">
        <f t="shared" si="48"/>
        <v>Shoe Molding 4938River Cherry          7937-38</v>
      </c>
      <c r="K830" t="s">
        <v>1161</v>
      </c>
    </row>
    <row r="831" spans="1:11" x14ac:dyDescent="0.35">
      <c r="A831" s="209" t="s">
        <v>1183</v>
      </c>
      <c r="B831" s="209" t="s">
        <v>1184</v>
      </c>
      <c r="C831" t="s">
        <v>677</v>
      </c>
      <c r="D831" s="210" t="s">
        <v>1185</v>
      </c>
      <c r="F831" s="211" t="s">
        <v>1201</v>
      </c>
      <c r="I831" t="s">
        <v>1146</v>
      </c>
      <c r="J831" s="175" t="str">
        <f t="shared" ref="J831:J837" si="49">CONCATENATE(I831,F831)</f>
        <v>Shoe Molding 4938Akira                     8233-05</v>
      </c>
      <c r="K831" t="s">
        <v>1363</v>
      </c>
    </row>
    <row r="832" spans="1:11" x14ac:dyDescent="0.35">
      <c r="A832" s="209" t="s">
        <v>1186</v>
      </c>
      <c r="B832" s="209" t="s">
        <v>1184</v>
      </c>
      <c r="C832" t="s">
        <v>677</v>
      </c>
      <c r="D832" s="210" t="s">
        <v>1187</v>
      </c>
      <c r="F832" s="211" t="s">
        <v>1200</v>
      </c>
      <c r="I832" t="s">
        <v>1146</v>
      </c>
      <c r="J832" s="175" t="str">
        <f t="shared" si="49"/>
        <v>Shoe Molding 4938Belair                    8234-05</v>
      </c>
      <c r="K832" t="s">
        <v>1364</v>
      </c>
    </row>
    <row r="833" spans="1:11" x14ac:dyDescent="0.35">
      <c r="A833" s="209" t="s">
        <v>1188</v>
      </c>
      <c r="B833" s="209" t="s">
        <v>1184</v>
      </c>
      <c r="C833" t="s">
        <v>677</v>
      </c>
      <c r="D833" s="210" t="s">
        <v>1189</v>
      </c>
      <c r="F833" s="211" t="s">
        <v>1198</v>
      </c>
      <c r="I833" t="s">
        <v>1146</v>
      </c>
      <c r="J833" s="175" t="str">
        <f t="shared" si="49"/>
        <v>Shoe Molding 4938Daintree               8235-05</v>
      </c>
      <c r="K833" t="s">
        <v>1365</v>
      </c>
    </row>
    <row r="834" spans="1:11" x14ac:dyDescent="0.35">
      <c r="A834" s="209" t="s">
        <v>1190</v>
      </c>
      <c r="B834" s="209" t="s">
        <v>1184</v>
      </c>
      <c r="C834" t="s">
        <v>677</v>
      </c>
      <c r="D834" s="210" t="s">
        <v>1191</v>
      </c>
      <c r="F834" s="211" t="s">
        <v>1199</v>
      </c>
      <c r="I834" t="s">
        <v>1146</v>
      </c>
      <c r="J834" s="175" t="str">
        <f t="shared" si="49"/>
        <v>Shoe Molding 4938Monteverdi          8236-05</v>
      </c>
      <c r="K834" t="s">
        <v>1366</v>
      </c>
    </row>
    <row r="835" spans="1:11" x14ac:dyDescent="0.35">
      <c r="A835" s="209" t="s">
        <v>1192</v>
      </c>
      <c r="B835" s="209" t="s">
        <v>1184</v>
      </c>
      <c r="C835" t="s">
        <v>677</v>
      </c>
      <c r="D835" s="210" t="s">
        <v>1193</v>
      </c>
      <c r="F835" s="211" t="s">
        <v>1202</v>
      </c>
      <c r="I835" t="s">
        <v>1146</v>
      </c>
      <c r="J835" s="175" t="str">
        <f t="shared" si="49"/>
        <v>Shoe Molding 4938Great Bear           8237-05</v>
      </c>
      <c r="K835" t="s">
        <v>1367</v>
      </c>
    </row>
    <row r="836" spans="1:11" x14ac:dyDescent="0.35">
      <c r="A836" s="209" t="s">
        <v>1194</v>
      </c>
      <c r="B836" s="209" t="s">
        <v>1184</v>
      </c>
      <c r="C836" t="s">
        <v>677</v>
      </c>
      <c r="D836" s="210" t="s">
        <v>1195</v>
      </c>
      <c r="F836" s="211" t="s">
        <v>1203</v>
      </c>
      <c r="I836" t="s">
        <v>1146</v>
      </c>
      <c r="J836" s="175" t="str">
        <f t="shared" si="49"/>
        <v>Shoe Molding 4938Fairchild               8238-05</v>
      </c>
      <c r="K836" t="s">
        <v>1368</v>
      </c>
    </row>
    <row r="837" spans="1:11" x14ac:dyDescent="0.35">
      <c r="A837" s="209" t="s">
        <v>1196</v>
      </c>
      <c r="B837" s="209" t="s">
        <v>198</v>
      </c>
      <c r="C837" t="s">
        <v>677</v>
      </c>
      <c r="D837" s="210" t="s">
        <v>1197</v>
      </c>
      <c r="F837" s="211" t="s">
        <v>1204</v>
      </c>
      <c r="I837" t="s">
        <v>1146</v>
      </c>
      <c r="J837" s="175" t="str">
        <f t="shared" si="49"/>
        <v>Shoe Molding 4938Indigo                   D379-60</v>
      </c>
      <c r="K837" t="s">
        <v>1369</v>
      </c>
    </row>
    <row r="838" spans="1:11" x14ac:dyDescent="0.35">
      <c r="A838" s="209" t="s">
        <v>1106</v>
      </c>
      <c r="B838" s="209" t="s">
        <v>1115</v>
      </c>
      <c r="C838" t="s">
        <v>677</v>
      </c>
      <c r="D838" t="s">
        <v>880</v>
      </c>
      <c r="F838" t="s">
        <v>891</v>
      </c>
      <c r="I838" t="s">
        <v>1146</v>
      </c>
      <c r="J838" s="175" t="str">
        <f t="shared" si="48"/>
        <v>Shoe Molding 4938White Cypress    7976-79</v>
      </c>
      <c r="K838" t="s">
        <v>1162</v>
      </c>
    </row>
    <row r="839" spans="1:11" x14ac:dyDescent="0.35">
      <c r="A839" s="209" t="s">
        <v>1107</v>
      </c>
      <c r="B839" s="209" t="s">
        <v>1115</v>
      </c>
      <c r="C839" t="s">
        <v>677</v>
      </c>
      <c r="D839" t="s">
        <v>881</v>
      </c>
      <c r="F839" t="s">
        <v>892</v>
      </c>
      <c r="I839" t="s">
        <v>1146</v>
      </c>
      <c r="J839" s="175" t="str">
        <f t="shared" si="48"/>
        <v>Shoe Molding 4938Randolph Forest    8225-79</v>
      </c>
      <c r="K839" t="s">
        <v>1163</v>
      </c>
    </row>
    <row r="840" spans="1:11" x14ac:dyDescent="0.35">
      <c r="A840" s="209" t="s">
        <v>1108</v>
      </c>
      <c r="B840" s="209" t="s">
        <v>1115</v>
      </c>
      <c r="C840" t="s">
        <v>677</v>
      </c>
      <c r="D840" t="s">
        <v>882</v>
      </c>
      <c r="F840" t="s">
        <v>893</v>
      </c>
      <c r="I840" t="s">
        <v>1146</v>
      </c>
      <c r="J840" s="175" t="str">
        <f t="shared" si="48"/>
        <v>Shoe Molding 4938Dering Forest    8226-79</v>
      </c>
      <c r="K840" t="s">
        <v>1164</v>
      </c>
    </row>
    <row r="841" spans="1:11" x14ac:dyDescent="0.35">
      <c r="A841" s="209" t="s">
        <v>1109</v>
      </c>
      <c r="B841" s="209" t="s">
        <v>1115</v>
      </c>
      <c r="C841" t="s">
        <v>677</v>
      </c>
      <c r="D841" t="s">
        <v>883</v>
      </c>
      <c r="F841" t="s">
        <v>894</v>
      </c>
      <c r="I841" t="s">
        <v>1146</v>
      </c>
      <c r="J841" s="175" t="str">
        <f t="shared" si="48"/>
        <v>Shoe Molding 4938White River Forest    8227-79</v>
      </c>
      <c r="K841" t="s">
        <v>1165</v>
      </c>
    </row>
    <row r="842" spans="1:11" x14ac:dyDescent="0.35">
      <c r="A842" s="209" t="s">
        <v>1110</v>
      </c>
      <c r="B842" s="209" t="s">
        <v>1115</v>
      </c>
      <c r="C842" t="s">
        <v>677</v>
      </c>
      <c r="D842" t="s">
        <v>884</v>
      </c>
      <c r="F842" t="s">
        <v>895</v>
      </c>
      <c r="I842" t="s">
        <v>1146</v>
      </c>
      <c r="J842" s="175" t="str">
        <f t="shared" si="48"/>
        <v>Shoe Molding 4938Avondale Ash    8228-79</v>
      </c>
      <c r="K842" t="s">
        <v>1166</v>
      </c>
    </row>
    <row r="843" spans="1:11" x14ac:dyDescent="0.35">
      <c r="A843" s="209" t="s">
        <v>1111</v>
      </c>
      <c r="B843" s="209" t="s">
        <v>1115</v>
      </c>
      <c r="C843" t="s">
        <v>677</v>
      </c>
      <c r="D843" t="s">
        <v>885</v>
      </c>
      <c r="F843" t="s">
        <v>896</v>
      </c>
      <c r="I843" t="s">
        <v>1146</v>
      </c>
      <c r="J843" s="175" t="str">
        <f t="shared" si="48"/>
        <v>Shoe Molding 4938Friston Ash    8229-79</v>
      </c>
      <c r="K843" t="s">
        <v>1167</v>
      </c>
    </row>
    <row r="844" spans="1:11" x14ac:dyDescent="0.35">
      <c r="A844" s="209" t="s">
        <v>1112</v>
      </c>
      <c r="B844" s="209" t="s">
        <v>1115</v>
      </c>
      <c r="C844" t="s">
        <v>677</v>
      </c>
      <c r="D844" t="s">
        <v>886</v>
      </c>
      <c r="F844" t="s">
        <v>897</v>
      </c>
      <c r="I844" t="s">
        <v>1146</v>
      </c>
      <c r="J844" s="175" t="str">
        <f t="shared" si="48"/>
        <v>Shoe Molding 4938Valley Forge Elm    8231-79</v>
      </c>
      <c r="K844" t="s">
        <v>1168</v>
      </c>
    </row>
    <row r="845" spans="1:11" x14ac:dyDescent="0.35">
      <c r="A845" s="209" t="s">
        <v>1113</v>
      </c>
      <c r="B845" s="209" t="s">
        <v>193</v>
      </c>
      <c r="C845" t="s">
        <v>677</v>
      </c>
      <c r="D845" t="s">
        <v>887</v>
      </c>
      <c r="F845" t="s">
        <v>898</v>
      </c>
      <c r="I845" t="s">
        <v>1146</v>
      </c>
      <c r="J845" s="175" t="str">
        <f t="shared" si="48"/>
        <v>Shoe Molding 4938High Line    7970-28</v>
      </c>
      <c r="K845" t="s">
        <v>1169</v>
      </c>
    </row>
    <row r="846" spans="1:11" x14ac:dyDescent="0.35">
      <c r="A846" s="209" t="s">
        <v>183</v>
      </c>
      <c r="B846" s="209" t="s">
        <v>193</v>
      </c>
      <c r="C846" t="s">
        <v>677</v>
      </c>
      <c r="D846" t="s">
        <v>888</v>
      </c>
      <c r="F846" t="s">
        <v>899</v>
      </c>
      <c r="I846" t="s">
        <v>1146</v>
      </c>
      <c r="J846" s="175" t="str">
        <f t="shared" si="48"/>
        <v>Shoe Molding 4938Neowalnut    7991-28</v>
      </c>
      <c r="K846" t="s">
        <v>1170</v>
      </c>
    </row>
    <row r="847" spans="1:11" x14ac:dyDescent="0.35">
      <c r="A847" s="209" t="s">
        <v>1114</v>
      </c>
      <c r="B847" s="209" t="s">
        <v>193</v>
      </c>
      <c r="C847" t="s">
        <v>677</v>
      </c>
      <c r="D847" t="s">
        <v>889</v>
      </c>
      <c r="F847" t="s">
        <v>900</v>
      </c>
      <c r="I847" t="s">
        <v>1146</v>
      </c>
      <c r="J847" s="175" t="str">
        <f t="shared" si="48"/>
        <v>Shoe Molding 4938Portico Teak    8210-28</v>
      </c>
      <c r="K847" t="s">
        <v>1171</v>
      </c>
    </row>
    <row r="848" spans="1:11" x14ac:dyDescent="0.35">
      <c r="A848" s="209" t="s">
        <v>879</v>
      </c>
      <c r="B848" s="209" t="s">
        <v>198</v>
      </c>
      <c r="C848" t="s">
        <v>677</v>
      </c>
      <c r="D848" t="s">
        <v>890</v>
      </c>
      <c r="F848" t="s">
        <v>901</v>
      </c>
      <c r="I848" t="s">
        <v>1146</v>
      </c>
      <c r="J848" s="175" t="str">
        <f t="shared" si="48"/>
        <v>Shoe Molding 4938Pepperdust    D327-60</v>
      </c>
      <c r="K848" t="s">
        <v>1172</v>
      </c>
    </row>
    <row r="849" spans="1:12" x14ac:dyDescent="0.35">
      <c r="A849" s="209" t="s">
        <v>230</v>
      </c>
      <c r="B849" s="209" t="s">
        <v>165</v>
      </c>
      <c r="C849" t="s">
        <v>677</v>
      </c>
      <c r="D849" t="s">
        <v>231</v>
      </c>
      <c r="F849" t="s">
        <v>12</v>
      </c>
      <c r="I849" t="s">
        <v>1146</v>
      </c>
      <c r="J849" s="175" t="str">
        <f t="shared" si="48"/>
        <v>Shoe Molding 4938Columbian Walnut  7943-07</v>
      </c>
      <c r="K849" t="s">
        <v>1173</v>
      </c>
    </row>
    <row r="850" spans="1:12" x14ac:dyDescent="0.35">
      <c r="A850" s="209" t="s">
        <v>234</v>
      </c>
      <c r="B850" s="209" t="s">
        <v>184</v>
      </c>
      <c r="C850" t="s">
        <v>677</v>
      </c>
      <c r="D850" t="s">
        <v>235</v>
      </c>
      <c r="F850" t="s">
        <v>131</v>
      </c>
      <c r="I850" t="s">
        <v>1146</v>
      </c>
      <c r="J850" s="175" t="str">
        <f t="shared" si="48"/>
        <v>Shoe Molding 4938Florence Walnut    7993-38</v>
      </c>
      <c r="K850" t="s">
        <v>1174</v>
      </c>
    </row>
    <row r="851" spans="1:12" x14ac:dyDescent="0.35">
      <c r="A851" s="209" t="s">
        <v>164</v>
      </c>
      <c r="B851" s="209" t="s">
        <v>165</v>
      </c>
      <c r="C851" t="s">
        <v>677</v>
      </c>
      <c r="D851" t="s">
        <v>167</v>
      </c>
      <c r="F851" t="s">
        <v>132</v>
      </c>
      <c r="I851" t="s">
        <v>76</v>
      </c>
      <c r="J851" s="175" t="str">
        <f t="shared" si="44"/>
        <v>Light Shield 4022Shaker Cherry       7935-07</v>
      </c>
      <c r="K851" t="s">
        <v>748</v>
      </c>
      <c r="L851" t="s">
        <v>833</v>
      </c>
    </row>
    <row r="852" spans="1:12" x14ac:dyDescent="0.35">
      <c r="A852" s="209" t="s">
        <v>170</v>
      </c>
      <c r="B852" s="209" t="s">
        <v>165</v>
      </c>
      <c r="C852" t="s">
        <v>677</v>
      </c>
      <c r="D852" t="s">
        <v>171</v>
      </c>
      <c r="F852" t="s">
        <v>133</v>
      </c>
      <c r="I852" t="s">
        <v>76</v>
      </c>
      <c r="J852" s="175" t="str">
        <f t="shared" si="44"/>
        <v>Light Shield 4022Cafelle 7933-07</v>
      </c>
      <c r="K852" t="s">
        <v>749</v>
      </c>
      <c r="L852" t="s">
        <v>834</v>
      </c>
    </row>
    <row r="853" spans="1:12" x14ac:dyDescent="0.35">
      <c r="A853" s="209" t="s">
        <v>174</v>
      </c>
      <c r="B853" s="209" t="s">
        <v>175</v>
      </c>
      <c r="C853" t="s">
        <v>677</v>
      </c>
      <c r="D853" t="s">
        <v>176</v>
      </c>
      <c r="F853" t="s">
        <v>123</v>
      </c>
      <c r="I853" t="s">
        <v>76</v>
      </c>
      <c r="J853" s="175" t="str">
        <f t="shared" si="44"/>
        <v>Light Shield 4022White Driftwood      8200-16</v>
      </c>
      <c r="K853" t="s">
        <v>750</v>
      </c>
      <c r="L853" t="s">
        <v>835</v>
      </c>
    </row>
    <row r="854" spans="1:12" x14ac:dyDescent="0.35">
      <c r="A854" s="209" t="s">
        <v>179</v>
      </c>
      <c r="B854" s="209" t="s">
        <v>175</v>
      </c>
      <c r="C854" t="s">
        <v>677</v>
      </c>
      <c r="D854" t="s">
        <v>180</v>
      </c>
      <c r="F854" t="s">
        <v>124</v>
      </c>
      <c r="I854" t="s">
        <v>76</v>
      </c>
      <c r="J854" s="175" t="str">
        <f t="shared" si="44"/>
        <v>Light Shield 4022Weathered Char     8204-16</v>
      </c>
      <c r="K854" t="s">
        <v>751</v>
      </c>
      <c r="L854" t="s">
        <v>836</v>
      </c>
    </row>
    <row r="855" spans="1:12" x14ac:dyDescent="0.35">
      <c r="A855" s="209" t="s">
        <v>183</v>
      </c>
      <c r="B855" s="209" t="s">
        <v>184</v>
      </c>
      <c r="C855" t="s">
        <v>677</v>
      </c>
      <c r="D855" t="s">
        <v>185</v>
      </c>
      <c r="F855" t="s">
        <v>134</v>
      </c>
      <c r="I855" t="s">
        <v>76</v>
      </c>
      <c r="J855" s="175" t="str">
        <f t="shared" si="44"/>
        <v>Light Shield 4022Neowalnut 7991-38</v>
      </c>
      <c r="K855" t="s">
        <v>752</v>
      </c>
      <c r="L855" t="s">
        <v>837</v>
      </c>
    </row>
    <row r="856" spans="1:12" x14ac:dyDescent="0.35">
      <c r="A856" s="209" t="s">
        <v>188</v>
      </c>
      <c r="B856" s="209" t="s">
        <v>184</v>
      </c>
      <c r="C856" t="s">
        <v>677</v>
      </c>
      <c r="D856" t="s">
        <v>189</v>
      </c>
      <c r="F856" t="s">
        <v>135</v>
      </c>
      <c r="I856" t="s">
        <v>76</v>
      </c>
      <c r="J856" s="175" t="str">
        <f t="shared" si="44"/>
        <v>Light Shield 4022Ebony Recon        7997-38</v>
      </c>
      <c r="K856" t="s">
        <v>753</v>
      </c>
      <c r="L856" t="s">
        <v>838</v>
      </c>
    </row>
    <row r="857" spans="1:12" x14ac:dyDescent="0.35">
      <c r="A857" s="209" t="s">
        <v>192</v>
      </c>
      <c r="B857" s="209" t="s">
        <v>193</v>
      </c>
      <c r="C857" t="s">
        <v>677</v>
      </c>
      <c r="D857" t="s">
        <v>194</v>
      </c>
      <c r="F857" t="s">
        <v>36</v>
      </c>
      <c r="I857" t="s">
        <v>76</v>
      </c>
      <c r="J857" s="175" t="str">
        <f t="shared" si="44"/>
        <v>Light Shield 4022Phantom Charcoal  8214-28</v>
      </c>
      <c r="K857" t="s">
        <v>754</v>
      </c>
      <c r="L857" t="s">
        <v>839</v>
      </c>
    </row>
    <row r="858" spans="1:12" x14ac:dyDescent="0.35">
      <c r="A858" s="209" t="s">
        <v>197</v>
      </c>
      <c r="B858" s="209" t="s">
        <v>198</v>
      </c>
      <c r="C858" t="s">
        <v>677</v>
      </c>
      <c r="D858" t="s">
        <v>199</v>
      </c>
      <c r="F858" t="s">
        <v>11</v>
      </c>
      <c r="I858" t="s">
        <v>76</v>
      </c>
      <c r="J858" s="175" t="str">
        <f t="shared" si="44"/>
        <v>Light Shield 4022Linen  D427-60</v>
      </c>
      <c r="K858" t="s">
        <v>755</v>
      </c>
      <c r="L858" t="s">
        <v>840</v>
      </c>
    </row>
    <row r="859" spans="1:12" x14ac:dyDescent="0.35">
      <c r="A859" s="209" t="s">
        <v>202</v>
      </c>
      <c r="B859" s="209" t="s">
        <v>193</v>
      </c>
      <c r="C859" t="s">
        <v>677</v>
      </c>
      <c r="D859" t="s">
        <v>203</v>
      </c>
      <c r="F859" t="s">
        <v>136</v>
      </c>
      <c r="I859" t="s">
        <v>76</v>
      </c>
      <c r="J859" s="175" t="str">
        <f t="shared" si="44"/>
        <v>Light Shield 4022Phantom Pearl      8211-28</v>
      </c>
      <c r="K859" t="s">
        <v>756</v>
      </c>
      <c r="L859" t="s">
        <v>841</v>
      </c>
    </row>
    <row r="860" spans="1:12" x14ac:dyDescent="0.35">
      <c r="A860" s="209" t="s">
        <v>206</v>
      </c>
      <c r="B860" s="209" t="s">
        <v>193</v>
      </c>
      <c r="C860" t="s">
        <v>677</v>
      </c>
      <c r="D860" t="s">
        <v>207</v>
      </c>
      <c r="F860" t="s">
        <v>125</v>
      </c>
      <c r="I860" t="s">
        <v>76</v>
      </c>
      <c r="J860" s="175" t="str">
        <f t="shared" si="44"/>
        <v>Light Shield 4022Veranda Teak        8209-28</v>
      </c>
      <c r="K860" t="s">
        <v>757</v>
      </c>
      <c r="L860" t="s">
        <v>842</v>
      </c>
    </row>
    <row r="861" spans="1:12" x14ac:dyDescent="0.35">
      <c r="A861" s="209" t="s">
        <v>210</v>
      </c>
      <c r="B861" s="209" t="s">
        <v>175</v>
      </c>
      <c r="C861" t="s">
        <v>677</v>
      </c>
      <c r="D861" t="s">
        <v>211</v>
      </c>
      <c r="F861" t="s">
        <v>126</v>
      </c>
      <c r="I861" t="s">
        <v>76</v>
      </c>
      <c r="J861" s="175" t="str">
        <f t="shared" si="44"/>
        <v>Light Shield 4022Branded Oak         8207-16</v>
      </c>
      <c r="K861" t="s">
        <v>758</v>
      </c>
      <c r="L861" t="s">
        <v>843</v>
      </c>
    </row>
    <row r="862" spans="1:12" x14ac:dyDescent="0.35">
      <c r="A862" s="209" t="s">
        <v>214</v>
      </c>
      <c r="B862" s="209" t="s">
        <v>175</v>
      </c>
      <c r="C862" t="s">
        <v>677</v>
      </c>
      <c r="D862" t="s">
        <v>215</v>
      </c>
      <c r="F862" t="s">
        <v>127</v>
      </c>
      <c r="I862" t="s">
        <v>76</v>
      </c>
      <c r="J862" s="175" t="str">
        <f t="shared" si="44"/>
        <v>Light Shield 4022Saddle Oak           8206-16</v>
      </c>
      <c r="K862" t="s">
        <v>759</v>
      </c>
      <c r="L862" t="s">
        <v>844</v>
      </c>
    </row>
    <row r="863" spans="1:12" x14ac:dyDescent="0.35">
      <c r="A863" s="209" t="s">
        <v>218</v>
      </c>
      <c r="B863" s="209" t="s">
        <v>193</v>
      </c>
      <c r="C863" t="s">
        <v>677</v>
      </c>
      <c r="D863" t="s">
        <v>219</v>
      </c>
      <c r="F863" t="s">
        <v>129</v>
      </c>
      <c r="I863" t="s">
        <v>76</v>
      </c>
      <c r="J863" s="175" t="str">
        <f t="shared" si="44"/>
        <v>Light Shield 4022Phantom Ecru       8212-28</v>
      </c>
      <c r="K863" t="s">
        <v>760</v>
      </c>
      <c r="L863" t="s">
        <v>845</v>
      </c>
    </row>
    <row r="864" spans="1:12" x14ac:dyDescent="0.35">
      <c r="A864" s="209" t="s">
        <v>222</v>
      </c>
      <c r="B864" s="209" t="s">
        <v>175</v>
      </c>
      <c r="C864" t="s">
        <v>677</v>
      </c>
      <c r="D864" t="s">
        <v>223</v>
      </c>
      <c r="F864" t="s">
        <v>128</v>
      </c>
      <c r="I864" t="s">
        <v>76</v>
      </c>
      <c r="J864" s="175" t="str">
        <f t="shared" si="44"/>
        <v>Light Shield 4022Fawn Cypress       8208-16</v>
      </c>
      <c r="K864" t="s">
        <v>761</v>
      </c>
      <c r="L864" t="s">
        <v>846</v>
      </c>
    </row>
    <row r="865" spans="1:12" x14ac:dyDescent="0.35">
      <c r="A865" s="209" t="s">
        <v>226</v>
      </c>
      <c r="B865" s="209" t="s">
        <v>184</v>
      </c>
      <c r="C865" t="s">
        <v>677</v>
      </c>
      <c r="D865" t="s">
        <v>227</v>
      </c>
      <c r="F865" t="s">
        <v>130</v>
      </c>
      <c r="I865" t="s">
        <v>76</v>
      </c>
      <c r="J865" s="175" t="str">
        <f t="shared" si="44"/>
        <v>Light Shield 4022River Cherry          7937-38</v>
      </c>
      <c r="K865" t="s">
        <v>762</v>
      </c>
      <c r="L865" t="s">
        <v>847</v>
      </c>
    </row>
    <row r="866" spans="1:12" x14ac:dyDescent="0.35">
      <c r="A866" s="209" t="s">
        <v>1183</v>
      </c>
      <c r="B866" s="209" t="s">
        <v>1184</v>
      </c>
      <c r="C866" t="s">
        <v>677</v>
      </c>
      <c r="D866" s="210" t="s">
        <v>1185</v>
      </c>
      <c r="F866" s="211" t="s">
        <v>1201</v>
      </c>
      <c r="I866" t="s">
        <v>76</v>
      </c>
      <c r="J866" s="175" t="str">
        <f t="shared" ref="J866:J872" si="50">CONCATENATE(I866,F866)</f>
        <v>Light Shield 4022Akira                     8233-05</v>
      </c>
      <c r="K866" t="s">
        <v>1370</v>
      </c>
    </row>
    <row r="867" spans="1:12" x14ac:dyDescent="0.35">
      <c r="A867" s="209" t="s">
        <v>1186</v>
      </c>
      <c r="B867" s="209" t="s">
        <v>1184</v>
      </c>
      <c r="C867" t="s">
        <v>677</v>
      </c>
      <c r="D867" s="210" t="s">
        <v>1187</v>
      </c>
      <c r="F867" s="211" t="s">
        <v>1200</v>
      </c>
      <c r="I867" t="s">
        <v>76</v>
      </c>
      <c r="J867" s="175" t="str">
        <f t="shared" si="50"/>
        <v>Light Shield 4022Belair                    8234-05</v>
      </c>
      <c r="K867" t="s">
        <v>1371</v>
      </c>
    </row>
    <row r="868" spans="1:12" x14ac:dyDescent="0.35">
      <c r="A868" s="209" t="s">
        <v>1188</v>
      </c>
      <c r="B868" s="209" t="s">
        <v>1184</v>
      </c>
      <c r="C868" t="s">
        <v>677</v>
      </c>
      <c r="D868" s="210" t="s">
        <v>1189</v>
      </c>
      <c r="F868" s="211" t="s">
        <v>1198</v>
      </c>
      <c r="I868" t="s">
        <v>76</v>
      </c>
      <c r="J868" s="175" t="str">
        <f t="shared" si="50"/>
        <v>Light Shield 4022Daintree               8235-05</v>
      </c>
      <c r="K868" t="s">
        <v>1372</v>
      </c>
    </row>
    <row r="869" spans="1:12" x14ac:dyDescent="0.35">
      <c r="A869" s="209" t="s">
        <v>1190</v>
      </c>
      <c r="B869" s="209" t="s">
        <v>1184</v>
      </c>
      <c r="C869" t="s">
        <v>677</v>
      </c>
      <c r="D869" s="210" t="s">
        <v>1191</v>
      </c>
      <c r="F869" s="211" t="s">
        <v>1199</v>
      </c>
      <c r="I869" t="s">
        <v>76</v>
      </c>
      <c r="J869" s="175" t="str">
        <f t="shared" si="50"/>
        <v>Light Shield 4022Monteverdi          8236-05</v>
      </c>
      <c r="K869" t="s">
        <v>1373</v>
      </c>
    </row>
    <row r="870" spans="1:12" x14ac:dyDescent="0.35">
      <c r="A870" s="209" t="s">
        <v>1192</v>
      </c>
      <c r="B870" s="209" t="s">
        <v>1184</v>
      </c>
      <c r="C870" t="s">
        <v>677</v>
      </c>
      <c r="D870" s="210" t="s">
        <v>1193</v>
      </c>
      <c r="F870" s="211" t="s">
        <v>1202</v>
      </c>
      <c r="I870" t="s">
        <v>76</v>
      </c>
      <c r="J870" s="175" t="str">
        <f t="shared" si="50"/>
        <v>Light Shield 4022Great Bear           8237-05</v>
      </c>
      <c r="K870" t="s">
        <v>1374</v>
      </c>
    </row>
    <row r="871" spans="1:12" x14ac:dyDescent="0.35">
      <c r="A871" s="209" t="s">
        <v>1194</v>
      </c>
      <c r="B871" s="209" t="s">
        <v>1184</v>
      </c>
      <c r="C871" t="s">
        <v>677</v>
      </c>
      <c r="D871" s="210" t="s">
        <v>1195</v>
      </c>
      <c r="F871" s="211" t="s">
        <v>1203</v>
      </c>
      <c r="I871" t="s">
        <v>76</v>
      </c>
      <c r="J871" s="175" t="str">
        <f t="shared" si="50"/>
        <v>Light Shield 4022Fairchild               8238-05</v>
      </c>
      <c r="K871" t="s">
        <v>1375</v>
      </c>
    </row>
    <row r="872" spans="1:12" x14ac:dyDescent="0.35">
      <c r="A872" s="209" t="s">
        <v>1196</v>
      </c>
      <c r="B872" s="209" t="s">
        <v>198</v>
      </c>
      <c r="C872" t="s">
        <v>677</v>
      </c>
      <c r="D872" s="210" t="s">
        <v>1197</v>
      </c>
      <c r="F872" s="211" t="s">
        <v>1204</v>
      </c>
      <c r="I872" t="s">
        <v>76</v>
      </c>
      <c r="J872" s="175" t="str">
        <f t="shared" si="50"/>
        <v>Light Shield 4022Indigo                   D379-60</v>
      </c>
      <c r="K872" t="s">
        <v>1376</v>
      </c>
    </row>
    <row r="873" spans="1:12" x14ac:dyDescent="0.35">
      <c r="A873" s="209" t="s">
        <v>1106</v>
      </c>
      <c r="B873" s="209" t="s">
        <v>1115</v>
      </c>
      <c r="C873" t="s">
        <v>677</v>
      </c>
      <c r="D873" t="s">
        <v>880</v>
      </c>
      <c r="F873" t="s">
        <v>891</v>
      </c>
      <c r="I873" t="s">
        <v>76</v>
      </c>
      <c r="J873" s="175" t="str">
        <f t="shared" ref="J873:J883" si="51">CONCATENATE(I873,F873)</f>
        <v>Light Shield 4022White Cypress    7976-79</v>
      </c>
      <c r="K873" t="s">
        <v>1095</v>
      </c>
    </row>
    <row r="874" spans="1:12" x14ac:dyDescent="0.35">
      <c r="A874" s="209" t="s">
        <v>1107</v>
      </c>
      <c r="B874" s="209" t="s">
        <v>1115</v>
      </c>
      <c r="C874" t="s">
        <v>677</v>
      </c>
      <c r="D874" t="s">
        <v>881</v>
      </c>
      <c r="F874" t="s">
        <v>892</v>
      </c>
      <c r="I874" t="s">
        <v>76</v>
      </c>
      <c r="J874" s="175" t="str">
        <f t="shared" si="51"/>
        <v>Light Shield 4022Randolph Forest    8225-79</v>
      </c>
      <c r="K874" t="s">
        <v>1096</v>
      </c>
    </row>
    <row r="875" spans="1:12" x14ac:dyDescent="0.35">
      <c r="A875" s="209" t="s">
        <v>1108</v>
      </c>
      <c r="B875" s="209" t="s">
        <v>1115</v>
      </c>
      <c r="C875" t="s">
        <v>677</v>
      </c>
      <c r="D875" t="s">
        <v>882</v>
      </c>
      <c r="F875" t="s">
        <v>893</v>
      </c>
      <c r="I875" t="s">
        <v>76</v>
      </c>
      <c r="J875" s="175" t="str">
        <f t="shared" si="51"/>
        <v>Light Shield 4022Dering Forest    8226-79</v>
      </c>
      <c r="K875" t="s">
        <v>1097</v>
      </c>
    </row>
    <row r="876" spans="1:12" x14ac:dyDescent="0.35">
      <c r="A876" s="209" t="s">
        <v>1109</v>
      </c>
      <c r="B876" s="209" t="s">
        <v>1115</v>
      </c>
      <c r="C876" t="s">
        <v>677</v>
      </c>
      <c r="D876" t="s">
        <v>883</v>
      </c>
      <c r="F876" t="s">
        <v>894</v>
      </c>
      <c r="I876" t="s">
        <v>76</v>
      </c>
      <c r="J876" s="175" t="str">
        <f t="shared" si="51"/>
        <v>Light Shield 4022White River Forest    8227-79</v>
      </c>
      <c r="K876" t="s">
        <v>1098</v>
      </c>
    </row>
    <row r="877" spans="1:12" x14ac:dyDescent="0.35">
      <c r="A877" s="209" t="s">
        <v>1110</v>
      </c>
      <c r="B877" s="209" t="s">
        <v>1115</v>
      </c>
      <c r="C877" t="s">
        <v>677</v>
      </c>
      <c r="D877" t="s">
        <v>884</v>
      </c>
      <c r="F877" t="s">
        <v>895</v>
      </c>
      <c r="I877" t="s">
        <v>76</v>
      </c>
      <c r="J877" s="175" t="str">
        <f t="shared" si="51"/>
        <v>Light Shield 4022Avondale Ash    8228-79</v>
      </c>
      <c r="K877" t="s">
        <v>1099</v>
      </c>
    </row>
    <row r="878" spans="1:12" x14ac:dyDescent="0.35">
      <c r="A878" s="209" t="s">
        <v>1111</v>
      </c>
      <c r="B878" s="209" t="s">
        <v>1115</v>
      </c>
      <c r="C878" t="s">
        <v>677</v>
      </c>
      <c r="D878" t="s">
        <v>885</v>
      </c>
      <c r="F878" t="s">
        <v>896</v>
      </c>
      <c r="I878" t="s">
        <v>76</v>
      </c>
      <c r="J878" s="175" t="str">
        <f t="shared" si="51"/>
        <v>Light Shield 4022Friston Ash    8229-79</v>
      </c>
      <c r="K878" t="s">
        <v>1100</v>
      </c>
    </row>
    <row r="879" spans="1:12" x14ac:dyDescent="0.35">
      <c r="A879" s="209" t="s">
        <v>1112</v>
      </c>
      <c r="B879" s="209" t="s">
        <v>1115</v>
      </c>
      <c r="C879" t="s">
        <v>677</v>
      </c>
      <c r="D879" t="s">
        <v>886</v>
      </c>
      <c r="F879" t="s">
        <v>897</v>
      </c>
      <c r="I879" t="s">
        <v>76</v>
      </c>
      <c r="J879" s="175" t="str">
        <f t="shared" si="51"/>
        <v>Light Shield 4022Valley Forge Elm    8231-79</v>
      </c>
      <c r="K879" t="s">
        <v>1101</v>
      </c>
    </row>
    <row r="880" spans="1:12" x14ac:dyDescent="0.35">
      <c r="A880" s="209" t="s">
        <v>1113</v>
      </c>
      <c r="B880" s="209" t="s">
        <v>193</v>
      </c>
      <c r="C880" t="s">
        <v>677</v>
      </c>
      <c r="D880" t="s">
        <v>887</v>
      </c>
      <c r="F880" t="s">
        <v>898</v>
      </c>
      <c r="I880" t="s">
        <v>76</v>
      </c>
      <c r="J880" s="175" t="str">
        <f t="shared" si="51"/>
        <v>Light Shield 4022High Line    7970-28</v>
      </c>
      <c r="K880" t="s">
        <v>1102</v>
      </c>
    </row>
    <row r="881" spans="1:12" x14ac:dyDescent="0.35">
      <c r="A881" s="209" t="s">
        <v>183</v>
      </c>
      <c r="B881" s="209" t="s">
        <v>193</v>
      </c>
      <c r="C881" t="s">
        <v>677</v>
      </c>
      <c r="D881" t="s">
        <v>888</v>
      </c>
      <c r="F881" t="s">
        <v>899</v>
      </c>
      <c r="I881" t="s">
        <v>76</v>
      </c>
      <c r="J881" s="175" t="str">
        <f t="shared" si="51"/>
        <v>Light Shield 4022Neowalnut    7991-28</v>
      </c>
      <c r="K881" t="s">
        <v>1103</v>
      </c>
    </row>
    <row r="882" spans="1:12" x14ac:dyDescent="0.35">
      <c r="A882" s="209" t="s">
        <v>1114</v>
      </c>
      <c r="B882" s="209" t="s">
        <v>193</v>
      </c>
      <c r="C882" t="s">
        <v>677</v>
      </c>
      <c r="D882" t="s">
        <v>889</v>
      </c>
      <c r="F882" t="s">
        <v>900</v>
      </c>
      <c r="I882" t="s">
        <v>76</v>
      </c>
      <c r="J882" s="175" t="str">
        <f t="shared" si="51"/>
        <v>Light Shield 4022Portico Teak    8210-28</v>
      </c>
      <c r="K882" t="s">
        <v>1104</v>
      </c>
    </row>
    <row r="883" spans="1:12" x14ac:dyDescent="0.35">
      <c r="A883" s="209" t="s">
        <v>879</v>
      </c>
      <c r="B883" s="209" t="s">
        <v>198</v>
      </c>
      <c r="C883" t="s">
        <v>677</v>
      </c>
      <c r="D883" t="s">
        <v>890</v>
      </c>
      <c r="F883" t="s">
        <v>901</v>
      </c>
      <c r="I883" t="s">
        <v>76</v>
      </c>
      <c r="J883" s="175" t="str">
        <f t="shared" si="51"/>
        <v>Light Shield 4022Pepperdust    D327-60</v>
      </c>
      <c r="K883" t="s">
        <v>1105</v>
      </c>
    </row>
    <row r="884" spans="1:12" x14ac:dyDescent="0.35">
      <c r="A884" s="209" t="s">
        <v>230</v>
      </c>
      <c r="B884" s="209" t="s">
        <v>165</v>
      </c>
      <c r="C884" t="s">
        <v>677</v>
      </c>
      <c r="D884" t="s">
        <v>231</v>
      </c>
      <c r="F884" t="s">
        <v>12</v>
      </c>
      <c r="I884" t="s">
        <v>76</v>
      </c>
      <c r="J884" s="175" t="str">
        <f t="shared" si="44"/>
        <v>Light Shield 4022Columbian Walnut  7943-07</v>
      </c>
      <c r="K884" t="s">
        <v>763</v>
      </c>
      <c r="L884" t="s">
        <v>848</v>
      </c>
    </row>
    <row r="885" spans="1:12" x14ac:dyDescent="0.35">
      <c r="A885" s="209" t="s">
        <v>234</v>
      </c>
      <c r="B885" s="209" t="s">
        <v>184</v>
      </c>
      <c r="C885" t="s">
        <v>677</v>
      </c>
      <c r="D885" t="s">
        <v>235</v>
      </c>
      <c r="F885" t="s">
        <v>131</v>
      </c>
      <c r="I885" t="s">
        <v>76</v>
      </c>
      <c r="J885" s="175" t="str">
        <f t="shared" si="44"/>
        <v>Light Shield 4022Florence Walnut    7993-38</v>
      </c>
      <c r="K885" t="s">
        <v>764</v>
      </c>
      <c r="L885" t="s">
        <v>849</v>
      </c>
    </row>
    <row r="886" spans="1:12" x14ac:dyDescent="0.35">
      <c r="C886" t="s">
        <v>677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4:H67"/>
  <sheetViews>
    <sheetView topLeftCell="A15" workbookViewId="0">
      <selection activeCell="C19" sqref="C19"/>
    </sheetView>
  </sheetViews>
  <sheetFormatPr defaultRowHeight="14.5" x14ac:dyDescent="0.35"/>
  <sheetData>
    <row r="14" spans="1:8" x14ac:dyDescent="0.35">
      <c r="A14" s="9"/>
      <c r="B14" s="9"/>
      <c r="C14" s="294" t="s">
        <v>151</v>
      </c>
      <c r="D14" s="294"/>
      <c r="E14" s="294"/>
      <c r="F14" s="294"/>
      <c r="G14" s="294"/>
      <c r="H14" s="294"/>
    </row>
    <row r="15" spans="1:8" ht="15.5" x14ac:dyDescent="0.35">
      <c r="A15" s="300" t="s">
        <v>148</v>
      </c>
      <c r="B15" s="300"/>
      <c r="C15" s="294"/>
      <c r="D15" s="294"/>
      <c r="E15" s="294"/>
      <c r="F15" s="294"/>
      <c r="G15" s="294"/>
      <c r="H15" s="294"/>
    </row>
    <row r="16" spans="1:8" ht="15" thickBot="1" x14ac:dyDescent="0.4">
      <c r="A16" s="9"/>
      <c r="B16" s="9"/>
      <c r="C16" s="9"/>
      <c r="D16" s="47"/>
      <c r="E16" s="47"/>
      <c r="F16" s="47"/>
      <c r="G16" s="47"/>
      <c r="H16" s="47"/>
    </row>
    <row r="17" spans="1:8" ht="28" x14ac:dyDescent="0.35">
      <c r="A17" s="146" t="s">
        <v>121</v>
      </c>
      <c r="B17" s="147" t="s">
        <v>0</v>
      </c>
      <c r="C17" s="153" t="s">
        <v>858</v>
      </c>
      <c r="D17" s="154" t="s">
        <v>149</v>
      </c>
      <c r="E17" s="154" t="s">
        <v>857</v>
      </c>
      <c r="F17" s="154" t="s">
        <v>150</v>
      </c>
      <c r="G17" s="154" t="s">
        <v>671</v>
      </c>
      <c r="H17" s="154"/>
    </row>
    <row r="18" spans="1:8" ht="15.5" x14ac:dyDescent="0.35">
      <c r="A18" s="148" t="str">
        <f>IFERROR(IF(CUSTOMER!D15&gt;0,C18*CUSTOMER!I15+E18*CUSTOMER!I15,""),"")</f>
        <v/>
      </c>
      <c r="B18" s="149" t="str">
        <f>IF(ISERROR((CUSTOMER!$A15*$A18)),(""),(CUSTOMER!$A15*$A18))</f>
        <v/>
      </c>
      <c r="C18" s="155">
        <f>IFERROR(INDEX('Price Lists'!$L:$L,MATCH(CUSTOMER!D15,'Price Lists'!$F:$F,0),),0)</f>
        <v>0</v>
      </c>
      <c r="D18" s="156">
        <f>IF(AND(CUSTOMER!H15&lt;&gt;"",CUSTOMER!H15&gt;59.99),1,0)</f>
        <v>0</v>
      </c>
      <c r="E18" s="155">
        <f>IFERROR(VLOOKUP(CUSTOMER!$K15,'Price Lists'!$F$26:$I$56,4,0),0)</f>
        <v>0</v>
      </c>
      <c r="F18" s="157" t="str">
        <f>CONCATENATE(CUSTOMER!B15,CUSTOMER!C15)</f>
        <v/>
      </c>
      <c r="G18" s="157" t="str">
        <f>IFERROR(VLOOKUP(CONCATENATE(CUSTOMER!B15,CUSTOMER!C15,CUSTOMER!D15,CUSTOMER!J15),'SKU List'!J:K,2,0),"")</f>
        <v/>
      </c>
      <c r="H18" s="157"/>
    </row>
    <row r="19" spans="1:8" ht="15.5" x14ac:dyDescent="0.35">
      <c r="A19" s="150">
        <f>IFERROR(IF(CUSTOMER!D16&gt;0,C19*CUSTOMER!I16+E19*CUSTOMER!I16,""),"")</f>
        <v>0</v>
      </c>
      <c r="B19" s="187">
        <f>IF(ISERROR((CUSTOMER!$A16*$A19)),(""),(CUSTOMER!$A16*$A19))</f>
        <v>0</v>
      </c>
      <c r="C19" s="155">
        <f>IFERROR(INDEX('Price Lists'!$L:$L,MATCH(CUSTOMER!D16,'Price Lists'!$F:$F,0),),0)</f>
        <v>0</v>
      </c>
      <c r="D19" s="156">
        <f>IF(AND(CUSTOMER!H16&lt;&gt;"",CUSTOMER!H16&gt;59.99),1,0)</f>
        <v>0</v>
      </c>
      <c r="E19" s="155">
        <f>IFERROR(VLOOKUP(CUSTOMER!$K16,'Price Lists'!$F$26:$I$56,4,0),0)</f>
        <v>0</v>
      </c>
      <c r="F19" s="157" t="str">
        <f>CONCATENATE(CUSTOMER!B16,CUSTOMER!C16)</f>
        <v/>
      </c>
      <c r="G19" s="157" t="str">
        <f>IFERROR(VLOOKUP(CONCATENATE(CUSTOMER!B16,CUSTOMER!C16,CUSTOMER!D16,CUSTOMER!J16),'SKU List'!J:K,2,0),"")</f>
        <v/>
      </c>
      <c r="H19" s="157"/>
    </row>
    <row r="20" spans="1:8" ht="15.5" x14ac:dyDescent="0.35">
      <c r="A20" s="150">
        <f>IFERROR(IF(CUSTOMER!D17&gt;0,C20*CUSTOMER!I17+E20*CUSTOMER!I17,""),"")</f>
        <v>0</v>
      </c>
      <c r="B20" s="149">
        <f>IF(ISERROR((CUSTOMER!$A17*$A20)),(""),(CUSTOMER!$A17*$A20))</f>
        <v>0</v>
      </c>
      <c r="C20" s="155">
        <f>IFERROR(INDEX('Price Lists'!$L:$L,MATCH(CUSTOMER!D17,'Price Lists'!$F:$F,0),),0)</f>
        <v>0</v>
      </c>
      <c r="D20" s="156">
        <f>IF(AND(CUSTOMER!H17&lt;&gt;"",CUSTOMER!H17&gt;59.99),1,0)</f>
        <v>0</v>
      </c>
      <c r="E20" s="155">
        <f>IFERROR(VLOOKUP(CUSTOMER!$K17,'Price Lists'!$F$26:$I$56,4,0),0)</f>
        <v>0</v>
      </c>
      <c r="F20" s="157" t="str">
        <f>CONCATENATE(CUSTOMER!B17,CUSTOMER!C17)</f>
        <v/>
      </c>
      <c r="G20" s="157" t="str">
        <f>IFERROR(VLOOKUP(CONCATENATE(CUSTOMER!B17,CUSTOMER!C17,CUSTOMER!D17,CUSTOMER!J17),'SKU List'!J:K,2,0),"")</f>
        <v/>
      </c>
      <c r="H20" s="157"/>
    </row>
    <row r="21" spans="1:8" ht="15.5" x14ac:dyDescent="0.35">
      <c r="A21" s="150">
        <f>IFERROR(IF(CUSTOMER!D18&gt;0,C21*CUSTOMER!I18+E21*CUSTOMER!I18,""),"")</f>
        <v>0</v>
      </c>
      <c r="B21" s="149">
        <f>IF(ISERROR((CUSTOMER!$A18*$A21)),(""),(CUSTOMER!$A18*$A21))</f>
        <v>0</v>
      </c>
      <c r="C21" s="155">
        <f>IFERROR(INDEX('Price Lists'!$L:$L,MATCH(CUSTOMER!D18,'Price Lists'!$F:$F,0),),0)</f>
        <v>0</v>
      </c>
      <c r="D21" s="156">
        <f>IF(AND(CUSTOMER!H18&lt;&gt;"",CUSTOMER!H18&gt;59.99),1,0)</f>
        <v>0</v>
      </c>
      <c r="E21" s="155">
        <f>IFERROR(VLOOKUP(CUSTOMER!$K18,'Price Lists'!$F$26:$I$56,4,0),0)</f>
        <v>0</v>
      </c>
      <c r="F21" s="157" t="str">
        <f>CONCATENATE(CUSTOMER!B18,CUSTOMER!C18)</f>
        <v/>
      </c>
      <c r="G21" s="157" t="str">
        <f>IFERROR(VLOOKUP(CONCATENATE(CUSTOMER!B18,CUSTOMER!C18,CUSTOMER!D18,CUSTOMER!J18),'SKU List'!J:K,2,0),"")</f>
        <v/>
      </c>
      <c r="H21" s="157"/>
    </row>
    <row r="22" spans="1:8" ht="15.5" x14ac:dyDescent="0.35">
      <c r="A22" s="150">
        <f>IFERROR(IF(CUSTOMER!D19&gt;0,C22*CUSTOMER!I19+E22*CUSTOMER!I19,""),"")</f>
        <v>0</v>
      </c>
      <c r="B22" s="149">
        <f>IF(ISERROR((CUSTOMER!$A19*$A22)),(""),(CUSTOMER!$A19*$A22))</f>
        <v>0</v>
      </c>
      <c r="C22" s="155">
        <f>IFERROR(INDEX('Price Lists'!$L:$L,MATCH(CUSTOMER!D19,'Price Lists'!$F:$F,0),),0)</f>
        <v>0</v>
      </c>
      <c r="D22" s="156">
        <f>IF(AND(CUSTOMER!H19&lt;&gt;"",CUSTOMER!H19&gt;59.99),1,0)</f>
        <v>0</v>
      </c>
      <c r="E22" s="155">
        <f>IFERROR(VLOOKUP(CUSTOMER!$K19,'Price Lists'!$F$26:$I$56,4,0),0)</f>
        <v>0</v>
      </c>
      <c r="F22" s="157" t="str">
        <f>CONCATENATE(CUSTOMER!B19,CUSTOMER!C19)</f>
        <v/>
      </c>
      <c r="G22" s="157" t="str">
        <f>IFERROR(VLOOKUP(CONCATENATE(CUSTOMER!B19,CUSTOMER!C19,CUSTOMER!D19,CUSTOMER!J19),'SKU List'!J:K,2,0),"")</f>
        <v/>
      </c>
      <c r="H22" s="157"/>
    </row>
    <row r="23" spans="1:8" ht="15.5" x14ac:dyDescent="0.35">
      <c r="A23" s="150">
        <f>IFERROR(IF(CUSTOMER!D20&gt;0,C23*CUSTOMER!I20+E23*CUSTOMER!I20,""),"")</f>
        <v>0</v>
      </c>
      <c r="B23" s="149">
        <f>IF(ISERROR((CUSTOMER!$A20*$A23)),(""),(CUSTOMER!$A20*$A23))</f>
        <v>0</v>
      </c>
      <c r="C23" s="155">
        <f>IFERROR(INDEX('Price Lists'!$L:$L,MATCH(CUSTOMER!D20,'Price Lists'!$F:$F,0),),0)</f>
        <v>0</v>
      </c>
      <c r="D23" s="156">
        <f>IF(AND(CUSTOMER!H20&lt;&gt;"",CUSTOMER!H20&gt;59.99),1,0)</f>
        <v>0</v>
      </c>
      <c r="E23" s="155">
        <f>IFERROR(VLOOKUP(CUSTOMER!$K20,'Price Lists'!$F$26:$I$56,4,0),0)</f>
        <v>0</v>
      </c>
      <c r="F23" s="157" t="str">
        <f>CONCATENATE(CUSTOMER!B20,CUSTOMER!C20)</f>
        <v/>
      </c>
      <c r="G23" s="157" t="str">
        <f>IFERROR(VLOOKUP(CONCATENATE(CUSTOMER!B20,CUSTOMER!C20,CUSTOMER!D20,CUSTOMER!J20),'SKU List'!J:K,2,0),"")</f>
        <v/>
      </c>
      <c r="H23" s="157"/>
    </row>
    <row r="24" spans="1:8" ht="15.5" x14ac:dyDescent="0.35">
      <c r="A24" s="150">
        <f>IFERROR(IF(CUSTOMER!D21&gt;0,C24*CUSTOMER!I21+E24*CUSTOMER!I21,""),"")</f>
        <v>0</v>
      </c>
      <c r="B24" s="149">
        <f>IF(ISERROR((CUSTOMER!$A21*$A24)),(""),(CUSTOMER!$A21*$A24))</f>
        <v>0</v>
      </c>
      <c r="C24" s="155">
        <f>IFERROR(INDEX('Price Lists'!$L:$L,MATCH(CUSTOMER!D21,'Price Lists'!$F:$F,0),),0)</f>
        <v>0</v>
      </c>
      <c r="D24" s="156">
        <f>IF(AND(CUSTOMER!H21&lt;&gt;"",CUSTOMER!H21&gt;59.99),1,0)</f>
        <v>0</v>
      </c>
      <c r="E24" s="155">
        <f>IFERROR(VLOOKUP(CUSTOMER!$K21,'Price Lists'!$F$26:$I$56,4,0),0)</f>
        <v>0</v>
      </c>
      <c r="F24" s="157" t="str">
        <f>CONCATENATE(CUSTOMER!B21,CUSTOMER!C21)</f>
        <v/>
      </c>
      <c r="G24" s="157" t="str">
        <f>IFERROR(VLOOKUP(CONCATENATE(CUSTOMER!B21,CUSTOMER!C21,CUSTOMER!D21,CUSTOMER!J21),'SKU List'!J:K,2,0),"")</f>
        <v/>
      </c>
      <c r="H24" s="157"/>
    </row>
    <row r="25" spans="1:8" ht="15.5" x14ac:dyDescent="0.35">
      <c r="A25" s="150">
        <f>IFERROR(IF(CUSTOMER!D22&gt;0,C25*CUSTOMER!I22+E25*CUSTOMER!I22,""),"")</f>
        <v>0</v>
      </c>
      <c r="B25" s="149">
        <f>IF(ISERROR((CUSTOMER!$A22*$A25)),(""),(CUSTOMER!$A22*$A25))</f>
        <v>0</v>
      </c>
      <c r="C25" s="155">
        <f>IFERROR(INDEX('Price Lists'!$L:$L,MATCH(CUSTOMER!D22,'Price Lists'!$F:$F,0),),0)</f>
        <v>0</v>
      </c>
      <c r="D25" s="156">
        <f>IF(AND(CUSTOMER!H22&lt;&gt;"",CUSTOMER!H22&gt;59.99),1,0)</f>
        <v>0</v>
      </c>
      <c r="E25" s="155">
        <f>IFERROR(VLOOKUP(CUSTOMER!$K22,'Price Lists'!$F$26:$I$56,4,0),0)</f>
        <v>0</v>
      </c>
      <c r="F25" s="157" t="str">
        <f>CONCATENATE(CUSTOMER!B22,CUSTOMER!C22)</f>
        <v/>
      </c>
      <c r="G25" s="157" t="str">
        <f>IFERROR(VLOOKUP(CONCATENATE(CUSTOMER!B22,CUSTOMER!C22,CUSTOMER!D22,CUSTOMER!J22),'SKU List'!J:K,2,0),"")</f>
        <v/>
      </c>
      <c r="H25" s="157"/>
    </row>
    <row r="26" spans="1:8" ht="15.5" x14ac:dyDescent="0.35">
      <c r="A26" s="150">
        <f>IFERROR(IF(CUSTOMER!D23&gt;0,C26*CUSTOMER!I23+E26*CUSTOMER!I23,""),"")</f>
        <v>0</v>
      </c>
      <c r="B26" s="149">
        <f>IF(ISERROR((CUSTOMER!$A23*$A26)),(""),(CUSTOMER!$A23*$A26))</f>
        <v>0</v>
      </c>
      <c r="C26" s="155">
        <f>IFERROR(INDEX('Price Lists'!$L:$L,MATCH(CUSTOMER!D23,'Price Lists'!$F:$F,0),),0)</f>
        <v>0</v>
      </c>
      <c r="D26" s="156">
        <f>IF(AND(CUSTOMER!H23&lt;&gt;"",CUSTOMER!H23&gt;59.99),1,0)</f>
        <v>0</v>
      </c>
      <c r="E26" s="155">
        <f>IFERROR(VLOOKUP(CUSTOMER!$K23,'Price Lists'!$F$26:$I$56,4,0),0)</f>
        <v>0</v>
      </c>
      <c r="F26" s="157" t="str">
        <f>CONCATENATE(CUSTOMER!B23,CUSTOMER!C23)</f>
        <v/>
      </c>
      <c r="G26" s="157" t="str">
        <f>IFERROR(VLOOKUP(CONCATENATE(CUSTOMER!B23,CUSTOMER!C23,CUSTOMER!D23,CUSTOMER!J23),'SKU List'!J:K,2,0),"")</f>
        <v/>
      </c>
      <c r="H26" s="157"/>
    </row>
    <row r="27" spans="1:8" ht="15.5" x14ac:dyDescent="0.35">
      <c r="A27" s="150">
        <f>IFERROR(IF(CUSTOMER!D24&gt;0,C27*CUSTOMER!I24+E27*CUSTOMER!I24,""),"")</f>
        <v>0</v>
      </c>
      <c r="B27" s="149">
        <f>IF(ISERROR((CUSTOMER!$A24*$A27)),(""),(CUSTOMER!$A24*$A27))</f>
        <v>0</v>
      </c>
      <c r="C27" s="155">
        <f>IFERROR(INDEX('Price Lists'!$L:$L,MATCH(CUSTOMER!D24,'Price Lists'!$F:$F,0),),0)</f>
        <v>0</v>
      </c>
      <c r="D27" s="156">
        <f>IF(AND(CUSTOMER!H24&lt;&gt;"",CUSTOMER!H24&gt;59.99),1,0)</f>
        <v>0</v>
      </c>
      <c r="E27" s="155">
        <f>IFERROR(VLOOKUP(CUSTOMER!$K24,'Price Lists'!$F$26:$I$56,4,0),0)</f>
        <v>0</v>
      </c>
      <c r="F27" s="157" t="str">
        <f>CONCATENATE(CUSTOMER!B24,CUSTOMER!C24)</f>
        <v/>
      </c>
      <c r="G27" s="157" t="str">
        <f>IFERROR(VLOOKUP(CONCATENATE(CUSTOMER!B24,CUSTOMER!C24,CUSTOMER!D24,CUSTOMER!J24),'SKU List'!J:K,2,0),"")</f>
        <v/>
      </c>
      <c r="H27" s="157"/>
    </row>
    <row r="28" spans="1:8" ht="15.5" x14ac:dyDescent="0.35">
      <c r="A28" s="150">
        <f>IFERROR(IF(CUSTOMER!D25&gt;0,C28*CUSTOMER!I25+E28*CUSTOMER!I25,""),"")</f>
        <v>0</v>
      </c>
      <c r="B28" s="221">
        <f>IF(ISERROR((CUSTOMER!$A25*$A28)),(""),(CUSTOMER!$A25*$A28))</f>
        <v>0</v>
      </c>
      <c r="C28" s="155">
        <f>IFERROR(INDEX('Price Lists'!$L:$L,MATCH(CUSTOMER!D25,'Price Lists'!$F:$F,0),),0)</f>
        <v>0</v>
      </c>
      <c r="D28" s="156">
        <f>IF(AND(CUSTOMER!H25&lt;&gt;"",CUSTOMER!H25&gt;59.99),1,0)</f>
        <v>0</v>
      </c>
      <c r="E28" s="155">
        <f>IFERROR(VLOOKUP(CUSTOMER!$K25,'Price Lists'!$F$26:$I$56,4,0),0)</f>
        <v>0</v>
      </c>
      <c r="F28" s="157" t="str">
        <f>CONCATENATE(CUSTOMER!B25,CUSTOMER!C25)</f>
        <v/>
      </c>
      <c r="G28" s="157" t="str">
        <f>IFERROR(VLOOKUP(CONCATENATE(CUSTOMER!B25,CUSTOMER!C25,CUSTOMER!D25,CUSTOMER!J25),'SKU List'!J:K,2,0),"")</f>
        <v/>
      </c>
      <c r="H28" s="157"/>
    </row>
    <row r="29" spans="1:8" ht="15.5" x14ac:dyDescent="0.35">
      <c r="A29" s="150">
        <f>IFERROR(IF(CUSTOMER!D26&gt;0,C29*CUSTOMER!I26+E29*CUSTOMER!I26,""),"")</f>
        <v>0</v>
      </c>
      <c r="B29" s="221">
        <f>IF(ISERROR((CUSTOMER!$A26*$A29)),(""),(CUSTOMER!$A26*$A29))</f>
        <v>0</v>
      </c>
      <c r="C29" s="155">
        <f>IFERROR(INDEX('Price Lists'!$L:$L,MATCH(CUSTOMER!D26,'Price Lists'!$F:$F,0),),0)</f>
        <v>0</v>
      </c>
      <c r="D29" s="156">
        <f>IF(AND(CUSTOMER!H26&lt;&gt;"",CUSTOMER!H26&gt;59.99),1,0)</f>
        <v>0</v>
      </c>
      <c r="E29" s="155">
        <f>IFERROR(VLOOKUP(CUSTOMER!$K26,'Price Lists'!$F$26:$I$56,4,0),0)</f>
        <v>0</v>
      </c>
      <c r="F29" s="157" t="str">
        <f>CONCATENATE(CUSTOMER!B26,CUSTOMER!C26)</f>
        <v/>
      </c>
      <c r="G29" s="157" t="str">
        <f>IFERROR(VLOOKUP(CONCATENATE(CUSTOMER!B26,CUSTOMER!C26,CUSTOMER!D26,CUSTOMER!J26),'SKU List'!J:K,2,0),"")</f>
        <v/>
      </c>
      <c r="H29" s="157"/>
    </row>
    <row r="30" spans="1:8" ht="15.5" x14ac:dyDescent="0.35">
      <c r="A30" s="150">
        <f>IFERROR(IF(CUSTOMER!D27&gt;0,C30*CUSTOMER!I27+E30*CUSTOMER!I27,""),"")</f>
        <v>0</v>
      </c>
      <c r="B30" s="221">
        <f>IF(ISERROR((CUSTOMER!$A27*$A30)),(""),(CUSTOMER!$A27*$A30))</f>
        <v>0</v>
      </c>
      <c r="C30" s="155">
        <f>IFERROR(INDEX('Price Lists'!$L:$L,MATCH(CUSTOMER!D27,'Price Lists'!$F:$F,0),),0)</f>
        <v>0</v>
      </c>
      <c r="D30" s="156">
        <f>IF(AND(CUSTOMER!H27&lt;&gt;"",CUSTOMER!H27&gt;59.99),1,0)</f>
        <v>0</v>
      </c>
      <c r="E30" s="155">
        <f>IFERROR(VLOOKUP(CUSTOMER!$K27,'Price Lists'!$F$26:$I$56,4,0),0)</f>
        <v>0</v>
      </c>
      <c r="F30" s="157" t="str">
        <f>CONCATENATE(CUSTOMER!B27,CUSTOMER!C27)</f>
        <v/>
      </c>
      <c r="G30" s="157" t="str">
        <f>IFERROR(VLOOKUP(CONCATENATE(CUSTOMER!B27,CUSTOMER!C27,CUSTOMER!D27,CUSTOMER!J27),'SKU List'!J:K,2,0),"")</f>
        <v/>
      </c>
      <c r="H30" s="157"/>
    </row>
    <row r="31" spans="1:8" ht="15.5" x14ac:dyDescent="0.35">
      <c r="A31" s="150">
        <f>IFERROR(IF(CUSTOMER!D28&gt;0,C31*CUSTOMER!I28+E31*CUSTOMER!I28,""),"")</f>
        <v>0</v>
      </c>
      <c r="B31" s="221">
        <f>IF(ISERROR((CUSTOMER!$A28*$A31)),(""),(CUSTOMER!$A28*$A31))</f>
        <v>0</v>
      </c>
      <c r="C31" s="155">
        <f>IFERROR(INDEX('Price Lists'!$L:$L,MATCH(CUSTOMER!D28,'Price Lists'!$F:$F,0),),0)</f>
        <v>0</v>
      </c>
      <c r="D31" s="156">
        <f>IF(AND(CUSTOMER!H28&lt;&gt;"",CUSTOMER!H28&gt;59.99),1,0)</f>
        <v>0</v>
      </c>
      <c r="E31" s="155">
        <f>IFERROR(VLOOKUP(CUSTOMER!$K28,'Price Lists'!$F$26:$I$56,4,0),0)</f>
        <v>0</v>
      </c>
      <c r="F31" s="157" t="str">
        <f>CONCATENATE(CUSTOMER!B28,CUSTOMER!C28)</f>
        <v/>
      </c>
      <c r="G31" s="157" t="str">
        <f>IFERROR(VLOOKUP(CONCATENATE(CUSTOMER!B28,CUSTOMER!C28,CUSTOMER!D28,CUSTOMER!J28),'SKU List'!J:K,2,0),"")</f>
        <v/>
      </c>
      <c r="H31" s="157"/>
    </row>
    <row r="32" spans="1:8" ht="15.5" x14ac:dyDescent="0.35">
      <c r="A32" s="150">
        <f>IFERROR(IF(CUSTOMER!D29&gt;0,C32*CUSTOMER!I29+E32*CUSTOMER!I29,""),"")</f>
        <v>0</v>
      </c>
      <c r="B32" s="221">
        <f>IF(ISERROR((CUSTOMER!$A29*$A32)),(""),(CUSTOMER!$A29*$A32))</f>
        <v>0</v>
      </c>
      <c r="C32" s="155">
        <f>IFERROR(INDEX('Price Lists'!$L:$L,MATCH(CUSTOMER!D29,'Price Lists'!$F:$F,0),),0)</f>
        <v>0</v>
      </c>
      <c r="D32" s="156">
        <f>IF(AND(CUSTOMER!H29&lt;&gt;"",CUSTOMER!H29&gt;59.99),1,0)</f>
        <v>0</v>
      </c>
      <c r="E32" s="155">
        <f>IFERROR(VLOOKUP(CUSTOMER!$K29,'Price Lists'!$F$26:$I$56,4,0),0)</f>
        <v>0</v>
      </c>
      <c r="F32" s="157" t="str">
        <f>CONCATENATE(CUSTOMER!B29,CUSTOMER!C29)</f>
        <v/>
      </c>
      <c r="G32" s="157" t="str">
        <f>IFERROR(VLOOKUP(CONCATENATE(CUSTOMER!B29,CUSTOMER!C29,CUSTOMER!D29,CUSTOMER!J29),'SKU List'!J:K,2,0),"")</f>
        <v/>
      </c>
      <c r="H32" s="157"/>
    </row>
    <row r="33" spans="1:8" ht="15.5" x14ac:dyDescent="0.35">
      <c r="A33" s="150">
        <f>IFERROR(IF(CUSTOMER!D30&gt;0,C33*CUSTOMER!I30+E33*CUSTOMER!I30,""),"")</f>
        <v>0</v>
      </c>
      <c r="B33" s="221">
        <f>IF(ISERROR((CUSTOMER!$A30*$A33)),(""),(CUSTOMER!$A30*$A33))</f>
        <v>0</v>
      </c>
      <c r="C33" s="155">
        <f>IFERROR(INDEX('Price Lists'!$L:$L,MATCH(CUSTOMER!D30,'Price Lists'!$F:$F,0),),0)</f>
        <v>0</v>
      </c>
      <c r="D33" s="156">
        <f>IF(AND(CUSTOMER!H30&lt;&gt;"",CUSTOMER!H30&gt;59.99),1,0)</f>
        <v>0</v>
      </c>
      <c r="E33" s="155">
        <f>IFERROR(VLOOKUP(CUSTOMER!$K30,'Price Lists'!$F$26:$I$56,4,0),0)</f>
        <v>0</v>
      </c>
      <c r="F33" s="157" t="str">
        <f>CONCATENATE(CUSTOMER!B30,CUSTOMER!C30)</f>
        <v/>
      </c>
      <c r="G33" s="157" t="str">
        <f>IFERROR(VLOOKUP(CONCATENATE(CUSTOMER!B30,CUSTOMER!C30,CUSTOMER!D30,CUSTOMER!J30),'SKU List'!J:K,2,0),"")</f>
        <v/>
      </c>
      <c r="H33" s="157"/>
    </row>
    <row r="34" spans="1:8" ht="15.5" x14ac:dyDescent="0.35">
      <c r="A34" s="150">
        <f>IFERROR(IF(CUSTOMER!D31&gt;0,C34*CUSTOMER!I31+E34*CUSTOMER!I31,""),"")</f>
        <v>0</v>
      </c>
      <c r="B34" s="221">
        <f>IF(ISERROR((CUSTOMER!$A31*$A34)),(""),(CUSTOMER!$A31*$A34))</f>
        <v>0</v>
      </c>
      <c r="C34" s="155">
        <f>IFERROR(INDEX('Price Lists'!$L:$L,MATCH(CUSTOMER!D31,'Price Lists'!$F:$F,0),),0)</f>
        <v>0</v>
      </c>
      <c r="D34" s="156">
        <f>IF(AND(CUSTOMER!H31&lt;&gt;"",CUSTOMER!H31&gt;59.99),1,0)</f>
        <v>0</v>
      </c>
      <c r="E34" s="155">
        <f>IFERROR(VLOOKUP(CUSTOMER!$K31,'Price Lists'!$F$26:$I$56,4,0),0)</f>
        <v>0</v>
      </c>
      <c r="F34" s="157" t="str">
        <f>CONCATENATE(CUSTOMER!B31,CUSTOMER!C31)</f>
        <v/>
      </c>
      <c r="G34" s="157" t="str">
        <f>IFERROR(VLOOKUP(CONCATENATE(CUSTOMER!B31,CUSTOMER!C31,CUSTOMER!D31,CUSTOMER!J31),'SKU List'!J:K,2,0),"")</f>
        <v/>
      </c>
      <c r="H34" s="157"/>
    </row>
    <row r="35" spans="1:8" ht="15.5" x14ac:dyDescent="0.35">
      <c r="A35" s="150">
        <f>IFERROR(IF(CUSTOMER!D32&gt;0,C35*CUSTOMER!I32+E35*CUSTOMER!I32,""),"")</f>
        <v>0</v>
      </c>
      <c r="B35" s="221">
        <f>IF(ISERROR((CUSTOMER!$A32*$A35)),(""),(CUSTOMER!$A32*$A35))</f>
        <v>0</v>
      </c>
      <c r="C35" s="155">
        <f>IFERROR(INDEX('Price Lists'!$L:$L,MATCH(CUSTOMER!D32,'Price Lists'!$F:$F,0),),0)</f>
        <v>0</v>
      </c>
      <c r="D35" s="156">
        <f>IF(AND(CUSTOMER!H32&lt;&gt;"",CUSTOMER!H32&gt;59.99),1,0)</f>
        <v>0</v>
      </c>
      <c r="E35" s="155">
        <f>IFERROR(VLOOKUP(CUSTOMER!$K32,'Price Lists'!$F$26:$I$56,4,0),0)</f>
        <v>0</v>
      </c>
      <c r="F35" s="157" t="str">
        <f>CONCATENATE(CUSTOMER!B32,CUSTOMER!C32)</f>
        <v/>
      </c>
      <c r="G35" s="157" t="str">
        <f>IFERROR(VLOOKUP(CONCATENATE(CUSTOMER!B32,CUSTOMER!C32,CUSTOMER!D32,CUSTOMER!J32),'SKU List'!J:K,2,0),"")</f>
        <v/>
      </c>
      <c r="H35" s="157"/>
    </row>
    <row r="36" spans="1:8" ht="15.5" x14ac:dyDescent="0.35">
      <c r="A36" s="150">
        <f>IFERROR(IF(CUSTOMER!D33&gt;0,C36*CUSTOMER!I33+E36*CUSTOMER!I33,""),"")</f>
        <v>0</v>
      </c>
      <c r="B36" s="221">
        <f>IF(ISERROR((CUSTOMER!$A33*$A36)),(""),(CUSTOMER!$A33*$A36))</f>
        <v>0</v>
      </c>
      <c r="C36" s="155">
        <f>IFERROR(INDEX('Price Lists'!$L:$L,MATCH(CUSTOMER!D33,'Price Lists'!$F:$F,0),),0)</f>
        <v>0</v>
      </c>
      <c r="D36" s="156">
        <f>IF(AND(CUSTOMER!H33&lt;&gt;"",CUSTOMER!H33&gt;59.99),1,0)</f>
        <v>0</v>
      </c>
      <c r="E36" s="155">
        <f>IFERROR(VLOOKUP(CUSTOMER!$K33,'Price Lists'!$F$26:$I$56,4,0),0)</f>
        <v>0</v>
      </c>
      <c r="F36" s="157" t="str">
        <f>CONCATENATE(CUSTOMER!B33,CUSTOMER!C33)</f>
        <v/>
      </c>
      <c r="G36" s="157" t="str">
        <f>IFERROR(VLOOKUP(CONCATENATE(CUSTOMER!B33,CUSTOMER!C33,CUSTOMER!D33,CUSTOMER!J33),'SKU List'!J:K,2,0),"")</f>
        <v/>
      </c>
      <c r="H36" s="157"/>
    </row>
    <row r="37" spans="1:8" ht="15.5" x14ac:dyDescent="0.35">
      <c r="A37" s="150">
        <f>IFERROR(IF(CUSTOMER!D34&gt;0,C37*CUSTOMER!I34+E37*CUSTOMER!I34,""),"")</f>
        <v>0</v>
      </c>
      <c r="B37" s="221">
        <f>IF(ISERROR((CUSTOMER!$A34*$A37)),(""),(CUSTOMER!$A34*$A37))</f>
        <v>0</v>
      </c>
      <c r="C37" s="155">
        <f>IFERROR(INDEX('Price Lists'!$L:$L,MATCH(CUSTOMER!D34,'Price Lists'!$F:$F,0),),0)</f>
        <v>0</v>
      </c>
      <c r="D37" s="156">
        <f>IF(AND(CUSTOMER!H34&lt;&gt;"",CUSTOMER!H34&gt;59.99),1,0)</f>
        <v>0</v>
      </c>
      <c r="E37" s="155">
        <f>IFERROR(VLOOKUP(CUSTOMER!$K34,'Price Lists'!$F$26:$I$56,4,0),0)</f>
        <v>0</v>
      </c>
      <c r="F37" s="157" t="str">
        <f>CONCATENATE(CUSTOMER!B34,CUSTOMER!C34)</f>
        <v/>
      </c>
      <c r="G37" s="157" t="str">
        <f>IFERROR(VLOOKUP(CONCATENATE(CUSTOMER!B34,CUSTOMER!C34,CUSTOMER!D34,CUSTOMER!J34),'SKU List'!J:K,2,0),"")</f>
        <v/>
      </c>
      <c r="H37" s="157"/>
    </row>
    <row r="38" spans="1:8" ht="15.5" x14ac:dyDescent="0.35">
      <c r="A38" s="150">
        <f>IFERROR(IF(CUSTOMER!D35&gt;0,C38*CUSTOMER!I35+E38*CUSTOMER!I35,""),"")</f>
        <v>0</v>
      </c>
      <c r="B38" s="221">
        <f>IF(ISERROR((CUSTOMER!$A35*$A38)),(""),(CUSTOMER!$A35*$A38))</f>
        <v>0</v>
      </c>
      <c r="C38" s="155">
        <f>IFERROR(INDEX('Price Lists'!$L:$L,MATCH(CUSTOMER!D35,'Price Lists'!$F:$F,0),),0)</f>
        <v>0</v>
      </c>
      <c r="D38" s="156">
        <f>IF(AND(CUSTOMER!H35&lt;&gt;"",CUSTOMER!H35&gt;59.99),1,0)</f>
        <v>0</v>
      </c>
      <c r="E38" s="155">
        <f>IFERROR(VLOOKUP(CUSTOMER!$K35,'Price Lists'!$F$26:$I$56,4,0),0)</f>
        <v>0</v>
      </c>
      <c r="F38" s="157" t="str">
        <f>CONCATENATE(CUSTOMER!B35,CUSTOMER!C35)</f>
        <v/>
      </c>
      <c r="G38" s="157" t="str">
        <f>IFERROR(VLOOKUP(CONCATENATE(CUSTOMER!B35,CUSTOMER!C35,CUSTOMER!D35,CUSTOMER!J35),'SKU List'!J:K,2,0),"")</f>
        <v/>
      </c>
      <c r="H38" s="157"/>
    </row>
    <row r="39" spans="1:8" ht="15.5" x14ac:dyDescent="0.35">
      <c r="A39" s="150">
        <f>IFERROR(IF(CUSTOMER!D36&gt;0,C39*CUSTOMER!I36+E39*CUSTOMER!I36,""),"")</f>
        <v>0</v>
      </c>
      <c r="B39" s="221">
        <f>IF(ISERROR((CUSTOMER!$A36*$A39)),(""),(CUSTOMER!$A36*$A39))</f>
        <v>0</v>
      </c>
      <c r="C39" s="155">
        <f>IFERROR(INDEX('Price Lists'!$L:$L,MATCH(CUSTOMER!D36,'Price Lists'!$F:$F,0),),0)</f>
        <v>0</v>
      </c>
      <c r="D39" s="156">
        <f>IF(AND(CUSTOMER!H36&lt;&gt;"",CUSTOMER!H36&gt;59.99),1,0)</f>
        <v>0</v>
      </c>
      <c r="E39" s="155">
        <f>IFERROR(VLOOKUP(CUSTOMER!$K36,'Price Lists'!$F$26:$I$56,4,0),0)</f>
        <v>0</v>
      </c>
      <c r="F39" s="157" t="str">
        <f>CONCATENATE(CUSTOMER!B36,CUSTOMER!C36)</f>
        <v/>
      </c>
      <c r="G39" s="157" t="str">
        <f>IFERROR(VLOOKUP(CONCATENATE(CUSTOMER!B36,CUSTOMER!C36,CUSTOMER!D36,CUSTOMER!J36),'SKU List'!J:K,2,0),"")</f>
        <v/>
      </c>
      <c r="H39" s="157"/>
    </row>
    <row r="40" spans="1:8" ht="15.5" x14ac:dyDescent="0.35">
      <c r="A40" s="150">
        <f>IFERROR(IF(CUSTOMER!D37&gt;0,C40*CUSTOMER!I37+E40*CUSTOMER!I37,""),"")</f>
        <v>0</v>
      </c>
      <c r="B40" s="221">
        <f>IF(ISERROR((CUSTOMER!$A37*$A40)),(""),(CUSTOMER!$A37*$A40))</f>
        <v>0</v>
      </c>
      <c r="C40" s="155">
        <f>IFERROR(INDEX('Price Lists'!$L:$L,MATCH(CUSTOMER!D37,'Price Lists'!$F:$F,0),),0)</f>
        <v>0</v>
      </c>
      <c r="D40" s="156">
        <f>IF(AND(CUSTOMER!H37&lt;&gt;"",CUSTOMER!H37&gt;59.99),1,0)</f>
        <v>0</v>
      </c>
      <c r="E40" s="155">
        <f>IFERROR(VLOOKUP(CUSTOMER!$K37,'Price Lists'!$F$26:$I$56,4,0),0)</f>
        <v>0</v>
      </c>
      <c r="F40" s="157" t="str">
        <f>CONCATENATE(CUSTOMER!B37,CUSTOMER!C37)</f>
        <v/>
      </c>
      <c r="G40" s="157" t="str">
        <f>IFERROR(VLOOKUP(CONCATENATE(CUSTOMER!B37,CUSTOMER!C37,CUSTOMER!D37,CUSTOMER!J37),'SKU List'!J:K,2,0),"")</f>
        <v/>
      </c>
      <c r="H40" s="157"/>
    </row>
    <row r="41" spans="1:8" ht="15.5" x14ac:dyDescent="0.35">
      <c r="A41" s="150">
        <f>IFERROR(IF(CUSTOMER!D38&gt;0,C41*CUSTOMER!I38+E41*CUSTOMER!I38,""),"")</f>
        <v>0</v>
      </c>
      <c r="B41" s="221">
        <f>IF(ISERROR((CUSTOMER!$A38*$A41)),(""),(CUSTOMER!$A38*$A41))</f>
        <v>0</v>
      </c>
      <c r="C41" s="155">
        <f>IFERROR(INDEX('Price Lists'!$L:$L,MATCH(CUSTOMER!D38,'Price Lists'!$F:$F,0),),0)</f>
        <v>0</v>
      </c>
      <c r="D41" s="156">
        <f>IF(AND(CUSTOMER!H38&lt;&gt;"",CUSTOMER!H38&gt;59.99),1,0)</f>
        <v>0</v>
      </c>
      <c r="E41" s="155">
        <f>IFERROR(VLOOKUP(CUSTOMER!$K38,'Price Lists'!$F$26:$I$56,4,0),0)</f>
        <v>0</v>
      </c>
      <c r="F41" s="157" t="str">
        <f>CONCATENATE(CUSTOMER!B38,CUSTOMER!C38)</f>
        <v/>
      </c>
      <c r="G41" s="157" t="str">
        <f>IFERROR(VLOOKUP(CONCATENATE(CUSTOMER!B38,CUSTOMER!C38,CUSTOMER!D38,CUSTOMER!J38),'SKU List'!J:K,2,0),"")</f>
        <v/>
      </c>
      <c r="H41" s="157"/>
    </row>
    <row r="42" spans="1:8" ht="15.5" x14ac:dyDescent="0.35">
      <c r="A42" s="150">
        <f>IFERROR(IF(CUSTOMER!D39&gt;0,C42*CUSTOMER!I39+E42*CUSTOMER!I39,""),"")</f>
        <v>0</v>
      </c>
      <c r="B42" s="221">
        <f>IF(ISERROR((CUSTOMER!$A39*$A42)),(""),(CUSTOMER!$A39*$A42))</f>
        <v>0</v>
      </c>
      <c r="C42" s="155">
        <f>IFERROR(INDEX('Price Lists'!$L:$L,MATCH(CUSTOMER!D39,'Price Lists'!$F:$F,0),),0)</f>
        <v>0</v>
      </c>
      <c r="D42" s="156">
        <f>IF(AND(CUSTOMER!H39&lt;&gt;"",CUSTOMER!H39&gt;59.99),1,0)</f>
        <v>0</v>
      </c>
      <c r="E42" s="155">
        <f>IFERROR(VLOOKUP(CUSTOMER!$K39,'Price Lists'!$F$26:$I$56,4,0),0)</f>
        <v>0</v>
      </c>
      <c r="F42" s="157" t="str">
        <f>CONCATENATE(CUSTOMER!B39,CUSTOMER!C39)</f>
        <v/>
      </c>
      <c r="G42" s="157" t="str">
        <f>IFERROR(VLOOKUP(CONCATENATE(CUSTOMER!B39,CUSTOMER!C39,CUSTOMER!D39,CUSTOMER!J39),'SKU List'!J:K,2,0),"")</f>
        <v/>
      </c>
      <c r="H42" s="157"/>
    </row>
    <row r="43" spans="1:8" ht="15.5" x14ac:dyDescent="0.35">
      <c r="A43" s="150">
        <f>IFERROR(IF(CUSTOMER!D40&gt;0,C43*CUSTOMER!I40+E43*CUSTOMER!I40,""),"")</f>
        <v>0</v>
      </c>
      <c r="B43" s="221">
        <f>IF(ISERROR((CUSTOMER!$A40*$A43)),(""),(CUSTOMER!$A40*$A43))</f>
        <v>0</v>
      </c>
      <c r="C43" s="155">
        <f>IFERROR(INDEX('Price Lists'!$L:$L,MATCH(CUSTOMER!D40,'Price Lists'!$F:$F,0),),0)</f>
        <v>0</v>
      </c>
      <c r="D43" s="156">
        <f>IF(AND(CUSTOMER!H40&lt;&gt;"",CUSTOMER!H40&gt;59.99),1,0)</f>
        <v>0</v>
      </c>
      <c r="E43" s="155">
        <f>IFERROR(VLOOKUP(CUSTOMER!$K40,'Price Lists'!$F$26:$I$56,4,0),0)</f>
        <v>0</v>
      </c>
      <c r="F43" s="157" t="str">
        <f>CONCATENATE(CUSTOMER!B40,CUSTOMER!C40)</f>
        <v/>
      </c>
      <c r="G43" s="157" t="str">
        <f>IFERROR(VLOOKUP(CONCATENATE(CUSTOMER!B40,CUSTOMER!C40,CUSTOMER!D40,CUSTOMER!J40),'SKU List'!J:K,2,0),"")</f>
        <v/>
      </c>
      <c r="H43" s="157"/>
    </row>
    <row r="44" spans="1:8" ht="15.5" x14ac:dyDescent="0.35">
      <c r="A44" s="150">
        <f>IFERROR(IF(CUSTOMER!D41&gt;0,C44*CUSTOMER!I41+E44*CUSTOMER!I41,""),"")</f>
        <v>0</v>
      </c>
      <c r="B44" s="221">
        <f>IF(ISERROR((CUSTOMER!$A41*$A44)),(""),(CUSTOMER!$A41*$A44))</f>
        <v>0</v>
      </c>
      <c r="C44" s="155">
        <f>IFERROR(INDEX('Price Lists'!$L:$L,MATCH(CUSTOMER!D41,'Price Lists'!$F:$F,0),),0)</f>
        <v>0</v>
      </c>
      <c r="D44" s="156">
        <f>IF(AND(CUSTOMER!H41&lt;&gt;"",CUSTOMER!H41&gt;59.99),1,0)</f>
        <v>0</v>
      </c>
      <c r="E44" s="155">
        <f>IFERROR(VLOOKUP(CUSTOMER!$K41,'Price Lists'!$F$26:$I$56,4,0),0)</f>
        <v>0</v>
      </c>
      <c r="F44" s="157" t="str">
        <f>CONCATENATE(CUSTOMER!B41,CUSTOMER!C41)</f>
        <v/>
      </c>
      <c r="G44" s="157" t="str">
        <f>IFERROR(VLOOKUP(CONCATENATE(CUSTOMER!B41,CUSTOMER!C41,CUSTOMER!D41,CUSTOMER!J41),'SKU List'!J:K,2,0),"")</f>
        <v/>
      </c>
      <c r="H44" s="157"/>
    </row>
    <row r="45" spans="1:8" ht="15.5" x14ac:dyDescent="0.35">
      <c r="A45" s="150">
        <f>IFERROR(IF(CUSTOMER!D42&gt;0,C45*CUSTOMER!I42+E45*CUSTOMER!I42,""),"")</f>
        <v>0</v>
      </c>
      <c r="B45" s="221">
        <f>IF(ISERROR((CUSTOMER!$A42*$A45)),(""),(CUSTOMER!$A42*$A45))</f>
        <v>0</v>
      </c>
      <c r="C45" s="155">
        <f>IFERROR(INDEX('Price Lists'!$L:$L,MATCH(CUSTOMER!D42,'Price Lists'!$F:$F,0),),0)</f>
        <v>0</v>
      </c>
      <c r="D45" s="156">
        <f>IF(AND(CUSTOMER!H42&lt;&gt;"",CUSTOMER!H42&gt;59.99),1,0)</f>
        <v>0</v>
      </c>
      <c r="E45" s="155">
        <f>IFERROR(VLOOKUP(CUSTOMER!$K42,'Price Lists'!$F$26:$I$56,4,0),0)</f>
        <v>0</v>
      </c>
      <c r="F45" s="157" t="str">
        <f>CONCATENATE(CUSTOMER!B42,CUSTOMER!C42)</f>
        <v/>
      </c>
      <c r="G45" s="157" t="str">
        <f>IFERROR(VLOOKUP(CONCATENATE(CUSTOMER!B42,CUSTOMER!C42,CUSTOMER!D42,CUSTOMER!J42),'SKU List'!J:K,2,0),"")</f>
        <v/>
      </c>
      <c r="H45" s="157"/>
    </row>
    <row r="46" spans="1:8" ht="15.5" x14ac:dyDescent="0.35">
      <c r="A46" s="150">
        <f>IFERROR(IF(CUSTOMER!D43&gt;0,C46*CUSTOMER!I43+E46*CUSTOMER!I43,""),"")</f>
        <v>0</v>
      </c>
      <c r="B46" s="221">
        <f>IF(ISERROR((CUSTOMER!$A43*$A46)),(""),(CUSTOMER!$A43*$A46))</f>
        <v>0</v>
      </c>
      <c r="C46" s="155">
        <f>IFERROR(INDEX('Price Lists'!$L:$L,MATCH(CUSTOMER!D43,'Price Lists'!$F:$F,0),),0)</f>
        <v>0</v>
      </c>
      <c r="D46" s="156">
        <f>IF(AND(CUSTOMER!H43&lt;&gt;"",CUSTOMER!H43&gt;59.99),1,0)</f>
        <v>0</v>
      </c>
      <c r="E46" s="155">
        <f>IFERROR(VLOOKUP(CUSTOMER!$K43,'Price Lists'!$F$26:$I$56,4,0),0)</f>
        <v>0</v>
      </c>
      <c r="F46" s="157" t="str">
        <f>CONCATENATE(CUSTOMER!B43,CUSTOMER!C43)</f>
        <v/>
      </c>
      <c r="G46" s="157" t="str">
        <f>IFERROR(VLOOKUP(CONCATENATE(CUSTOMER!B43,CUSTOMER!C43,CUSTOMER!D43,CUSTOMER!J43),'SKU List'!J:K,2,0),"")</f>
        <v/>
      </c>
      <c r="H46" s="157"/>
    </row>
    <row r="47" spans="1:8" ht="15.5" x14ac:dyDescent="0.35">
      <c r="A47" s="150">
        <f>IFERROR(IF(CUSTOMER!D44&gt;0,C47*CUSTOMER!I44+E47*CUSTOMER!I44,""),"")</f>
        <v>0</v>
      </c>
      <c r="B47" s="221">
        <f>IF(ISERROR((CUSTOMER!$A44*$A47)),(""),(CUSTOMER!$A44*$A47))</f>
        <v>0</v>
      </c>
      <c r="C47" s="155">
        <f>IFERROR(INDEX('Price Lists'!$L:$L,MATCH(CUSTOMER!D44,'Price Lists'!$F:$F,0),),0)</f>
        <v>0</v>
      </c>
      <c r="D47" s="156">
        <f>IF(AND(CUSTOMER!H44&lt;&gt;"",CUSTOMER!H44&gt;59.99),1,0)</f>
        <v>0</v>
      </c>
      <c r="E47" s="155">
        <f>IFERROR(VLOOKUP(CUSTOMER!$K44,'Price Lists'!$F$26:$I$56,4,0),0)</f>
        <v>0</v>
      </c>
      <c r="F47" s="157" t="str">
        <f>CONCATENATE(CUSTOMER!B44,CUSTOMER!C44)</f>
        <v/>
      </c>
      <c r="G47" s="157" t="str">
        <f>IFERROR(VLOOKUP(CONCATENATE(CUSTOMER!B44,CUSTOMER!C44,CUSTOMER!D44,CUSTOMER!J44),'SKU List'!J:K,2,0),"")</f>
        <v/>
      </c>
      <c r="H47" s="157"/>
    </row>
    <row r="48" spans="1:8" ht="18" x14ac:dyDescent="0.35">
      <c r="A48" s="302">
        <f>SUM(CUSTOMER!A15:A44)</f>
        <v>0</v>
      </c>
      <c r="B48" s="303"/>
      <c r="C48" s="158"/>
      <c r="D48" s="159"/>
      <c r="E48" s="158"/>
      <c r="F48" s="159"/>
      <c r="G48" s="159"/>
      <c r="H48" s="159"/>
    </row>
    <row r="49" spans="1:8" ht="18" x14ac:dyDescent="0.35">
      <c r="A49" s="304" t="str">
        <f>IF(A48&gt;0,SUM(B18:B47)," ")</f>
        <v xml:space="preserve"> </v>
      </c>
      <c r="B49" s="275"/>
      <c r="C49" s="158"/>
      <c r="D49" s="159"/>
      <c r="E49" s="158"/>
      <c r="F49" s="159"/>
      <c r="G49" s="159"/>
      <c r="H49" s="159"/>
    </row>
    <row r="50" spans="1:8" ht="18.5" thickBot="1" x14ac:dyDescent="0.4">
      <c r="A50" s="305">
        <f>IF(SUM(D18:D47)&gt;0,25,0)</f>
        <v>0</v>
      </c>
      <c r="B50" s="277"/>
      <c r="C50" s="158"/>
      <c r="D50" s="159"/>
      <c r="E50" s="158"/>
      <c r="F50" s="159"/>
      <c r="G50" s="159"/>
      <c r="H50" s="159"/>
    </row>
    <row r="51" spans="1:8" ht="19" thickTop="1" thickBot="1" x14ac:dyDescent="0.4">
      <c r="A51" s="306">
        <f>SUM(A49:B50)</f>
        <v>0</v>
      </c>
      <c r="B51" s="278"/>
      <c r="C51" s="158"/>
      <c r="D51" s="159"/>
      <c r="E51" s="158"/>
      <c r="F51" s="159"/>
      <c r="G51" s="159"/>
      <c r="H51" s="159"/>
    </row>
    <row r="52" spans="1:8" x14ac:dyDescent="0.35">
      <c r="A52" s="66"/>
      <c r="B52" s="68"/>
      <c r="C52" s="160"/>
      <c r="D52" s="161"/>
      <c r="E52" s="161"/>
      <c r="F52" s="161"/>
      <c r="G52" s="161"/>
      <c r="H52" s="161"/>
    </row>
    <row r="53" spans="1:8" ht="20" x14ac:dyDescent="0.35">
      <c r="A53" s="138"/>
      <c r="B53" s="138"/>
      <c r="C53" s="160"/>
      <c r="D53" s="161"/>
      <c r="E53" s="161"/>
      <c r="F53" s="161"/>
      <c r="G53" s="161"/>
      <c r="H53" s="161"/>
    </row>
    <row r="54" spans="1:8" ht="15.5" x14ac:dyDescent="0.35">
      <c r="A54" s="144" t="s">
        <v>1</v>
      </c>
      <c r="B54" s="145" t="s">
        <v>0</v>
      </c>
      <c r="C54" s="162" t="s">
        <v>137</v>
      </c>
      <c r="D54" s="163" t="s">
        <v>150</v>
      </c>
      <c r="E54" s="163"/>
      <c r="F54" s="163"/>
      <c r="G54" s="154" t="s">
        <v>671</v>
      </c>
      <c r="H54" s="163"/>
    </row>
    <row r="55" spans="1:8" ht="15.5" x14ac:dyDescent="0.35">
      <c r="A55" s="143" t="str">
        <f>IF(CUSTOMER!B52&gt;0,C55,"")</f>
        <v/>
      </c>
      <c r="B55" s="98" t="str">
        <f>IF(ISERROR((CUSTOMER!$A52*$A55)),(""),(CUSTOMER!$A52*$A55))</f>
        <v/>
      </c>
      <c r="C55" s="158" t="str">
        <f>IFERROR(IF(CUSTOMER!A52&lt;625,INDEX('Price Lists'!$L:$L,MATCH(CUSTOMER!B52,'Price Lists'!$F:$F,0),),IF(CUSTOMER!A52&lt;1250,INDEX('Price Lists'!$M:$M,MATCH(CUSTOMER!B52,'Price Lists'!$F:$F,0),),IF(CUSTOMER!A52&gt;=1250,INDEX('Price Lists'!$N:$N,MATCH(CUSTOMER!B52,'Price Lists'!$F:$F,0),),""))),"")</f>
        <v/>
      </c>
      <c r="D55" s="164" t="str">
        <f>CONCATENATE(CUSTOMER!B52,CUSTOMER!F52)</f>
        <v/>
      </c>
      <c r="E55" s="159"/>
      <c r="F55" s="159"/>
      <c r="G55" s="159" t="str">
        <f>IFERROR(VLOOKUP(D55,'SKU List'!J:K,2,0),"")</f>
        <v/>
      </c>
      <c r="H55" s="159"/>
    </row>
    <row r="56" spans="1:8" ht="15.5" x14ac:dyDescent="0.35">
      <c r="A56" s="143" t="str">
        <f>IF(CUSTOMER!B53&gt;0,C56,"")</f>
        <v/>
      </c>
      <c r="B56" s="98" t="str">
        <f>IF(ISERROR((CUSTOMER!$A53*$A56)),(""),(CUSTOMER!$A53*$A56))</f>
        <v/>
      </c>
      <c r="C56" s="158" t="str">
        <f>IFERROR(IF(CUSTOMER!A53&lt;625,INDEX('Price Lists'!$L:$L,MATCH(CUSTOMER!B53,'Price Lists'!$F:$F,0),),IF(CUSTOMER!A53&lt;1250,INDEX('Price Lists'!$M:$M,MATCH(CUSTOMER!B53,'Price Lists'!$F:$F,0),),IF(CUSTOMER!A53&gt;=1250,INDEX('Price Lists'!$N:$N,MATCH(CUSTOMER!B53,'Price Lists'!$F:$F,0),),""))),"")</f>
        <v/>
      </c>
      <c r="D56" s="164" t="str">
        <f>CONCATENATE(CUSTOMER!B53,CUSTOMER!F53)</f>
        <v/>
      </c>
      <c r="E56" s="159"/>
      <c r="F56" s="159"/>
      <c r="G56" s="159" t="str">
        <f>IFERROR(VLOOKUP(D56,'SKU List'!J:K,2,0),"")</f>
        <v/>
      </c>
      <c r="H56" s="159"/>
    </row>
    <row r="57" spans="1:8" ht="15.5" x14ac:dyDescent="0.35">
      <c r="A57" s="143" t="str">
        <f>IF(CUSTOMER!B54&gt;0,C57,"")</f>
        <v/>
      </c>
      <c r="B57" s="98" t="str">
        <f>IF(ISERROR((CUSTOMER!$A54*$A57)),(""),(CUSTOMER!$A54*$A57))</f>
        <v/>
      </c>
      <c r="C57" s="158" t="str">
        <f>IFERROR(IF(CUSTOMER!A54&lt;625,INDEX('Price Lists'!$L:$L,MATCH(CUSTOMER!B54,'Price Lists'!$F:$F,0),),IF(CUSTOMER!A54&lt;1250,INDEX('Price Lists'!$M:$M,MATCH(CUSTOMER!B54,'Price Lists'!$F:$F,0),),IF(CUSTOMER!A54&gt;=1250,INDEX('Price Lists'!$N:$N,MATCH(CUSTOMER!B54,'Price Lists'!$F:$F,0),),""))),"")</f>
        <v/>
      </c>
      <c r="D57" s="164" t="str">
        <f>CONCATENATE(CUSTOMER!B54,CUSTOMER!F54)</f>
        <v/>
      </c>
      <c r="E57" s="159"/>
      <c r="F57" s="159"/>
      <c r="G57" s="159" t="str">
        <f>IFERROR(VLOOKUP(D57,'SKU List'!J:K,2,0),"")</f>
        <v/>
      </c>
      <c r="H57" s="159"/>
    </row>
    <row r="58" spans="1:8" ht="15.5" x14ac:dyDescent="0.35">
      <c r="A58" s="143" t="str">
        <f>IF(CUSTOMER!B55&gt;0,C58,"")</f>
        <v/>
      </c>
      <c r="B58" s="98" t="str">
        <f>IF(ISERROR((CUSTOMER!$A55*$A58)),(""),(CUSTOMER!$A55*$A58))</f>
        <v/>
      </c>
      <c r="C58" s="158" t="str">
        <f>IFERROR(IF(CUSTOMER!A55&lt;625,INDEX('Price Lists'!$L:$L,MATCH(CUSTOMER!B55,'Price Lists'!$F:$F,0),),IF(CUSTOMER!A55&lt;1250,INDEX('Price Lists'!$M:$M,MATCH(CUSTOMER!B55,'Price Lists'!$F:$F,0),),IF(CUSTOMER!A55&gt;=1250,INDEX('Price Lists'!$N:$N,MATCH(CUSTOMER!B55,'Price Lists'!$F:$F,0),),""))),"")</f>
        <v/>
      </c>
      <c r="D58" s="164" t="str">
        <f>CONCATENATE(CUSTOMER!B55,CUSTOMER!F55)</f>
        <v/>
      </c>
      <c r="E58" s="159"/>
      <c r="F58" s="159"/>
      <c r="G58" s="159" t="str">
        <f>IFERROR(VLOOKUP(D58,'SKU List'!J:K,2,0),"")</f>
        <v/>
      </c>
      <c r="H58" s="159"/>
    </row>
    <row r="59" spans="1:8" ht="15.5" x14ac:dyDescent="0.35">
      <c r="A59" s="143" t="str">
        <f>IF(CUSTOMER!B56&gt;0,C59,"")</f>
        <v/>
      </c>
      <c r="B59" s="98" t="str">
        <f>IF(ISERROR((CUSTOMER!$A56*$A59)),(""),(CUSTOMER!$A56*$A59))</f>
        <v/>
      </c>
      <c r="C59" s="158" t="str">
        <f>IFERROR(IF(CUSTOMER!A56&lt;625,INDEX('Price Lists'!$L:$L,MATCH(CUSTOMER!B56,'Price Lists'!$F:$F,0),),IF(CUSTOMER!A56&lt;1250,INDEX('Price Lists'!$M:$M,MATCH(CUSTOMER!B56,'Price Lists'!$F:$F,0),),IF(CUSTOMER!A56&gt;=1250,INDEX('Price Lists'!$N:$N,MATCH(CUSTOMER!B56,'Price Lists'!$F:$F,0),),""))),"")</f>
        <v/>
      </c>
      <c r="D59" s="164" t="str">
        <f>CONCATENATE(CUSTOMER!B56,CUSTOMER!F56)</f>
        <v/>
      </c>
      <c r="E59" s="159"/>
      <c r="F59" s="159"/>
      <c r="G59" s="159" t="str">
        <f>IFERROR(VLOOKUP(D59,'SKU List'!J:K,2,0),"")</f>
        <v/>
      </c>
      <c r="H59" s="159"/>
    </row>
    <row r="60" spans="1:8" ht="15.5" x14ac:dyDescent="0.35">
      <c r="A60" s="143" t="str">
        <f>IF(CUSTOMER!B57&gt;0,C60,"")</f>
        <v/>
      </c>
      <c r="B60" s="98" t="str">
        <f>IF(ISERROR((CUSTOMER!$A57*$A60)),(""),(CUSTOMER!$A57*$A60))</f>
        <v/>
      </c>
      <c r="C60" s="158" t="str">
        <f>IFERROR(IF(CUSTOMER!A57&lt;625,INDEX('Price Lists'!$L:$L,MATCH(CUSTOMER!B57,'Price Lists'!$F:$F,0),),IF(CUSTOMER!A57&lt;1250,INDEX('Price Lists'!$M:$M,MATCH(CUSTOMER!B57,'Price Lists'!$F:$F,0),),IF(CUSTOMER!A57&gt;=1250,INDEX('Price Lists'!$N:$N,MATCH(CUSTOMER!B57,'Price Lists'!$F:$F,0),),""))),"")</f>
        <v/>
      </c>
      <c r="D60" s="164" t="str">
        <f>CONCATENATE(CUSTOMER!B57,CUSTOMER!F57)</f>
        <v/>
      </c>
      <c r="E60" s="159"/>
      <c r="F60" s="159"/>
      <c r="G60" s="159" t="str">
        <f>IFERROR(VLOOKUP(D60,'SKU List'!J:K,2,0),"")</f>
        <v/>
      </c>
      <c r="H60" s="159"/>
    </row>
    <row r="61" spans="1:8" x14ac:dyDescent="0.35">
      <c r="A61" s="129" t="str">
        <f>IF(CUSTOMER!B58&gt;0,C61,"")</f>
        <v/>
      </c>
      <c r="B61" s="129"/>
      <c r="C61" s="160"/>
      <c r="D61" s="161"/>
      <c r="E61" s="161"/>
      <c r="F61" s="161"/>
      <c r="G61" s="161"/>
      <c r="H61" s="161"/>
    </row>
    <row r="62" spans="1:8" ht="18" x14ac:dyDescent="0.35">
      <c r="A62" s="247">
        <f>SUM(CUSTOMER!A52:A57)</f>
        <v>0</v>
      </c>
      <c r="B62" s="247"/>
      <c r="C62" s="160"/>
      <c r="D62" s="161"/>
      <c r="E62" s="161"/>
      <c r="F62" s="161"/>
      <c r="G62" s="161"/>
      <c r="H62" s="161"/>
    </row>
    <row r="63" spans="1:8" ht="18" x14ac:dyDescent="0.35">
      <c r="A63" s="241" t="str">
        <f>IF(A62&gt;0,SUM(A55:B60),"")</f>
        <v/>
      </c>
      <c r="B63" s="307"/>
      <c r="C63" s="160"/>
      <c r="D63" s="161"/>
      <c r="E63" s="161"/>
      <c r="F63" s="161"/>
      <c r="G63" s="161"/>
      <c r="H63" s="161"/>
    </row>
    <row r="64" spans="1:8" ht="18" x14ac:dyDescent="0.35">
      <c r="A64" s="241">
        <f>A51</f>
        <v>0</v>
      </c>
      <c r="B64" s="307"/>
      <c r="C64" s="160"/>
      <c r="D64" s="161"/>
      <c r="E64" s="161"/>
      <c r="F64" s="161"/>
      <c r="G64" s="161"/>
      <c r="H64" s="161"/>
    </row>
    <row r="65" spans="1:8" ht="18.5" thickBot="1" x14ac:dyDescent="0.4">
      <c r="A65" s="229">
        <f>CUSTOMER!M63</f>
        <v>0</v>
      </c>
      <c r="B65" s="308"/>
      <c r="C65" s="160"/>
      <c r="D65" s="161"/>
      <c r="E65" s="161"/>
      <c r="F65" s="161"/>
      <c r="G65" s="161"/>
      <c r="H65" s="161"/>
    </row>
    <row r="66" spans="1:8" ht="19" thickTop="1" thickBot="1" x14ac:dyDescent="0.4">
      <c r="A66" s="237">
        <f>SUM(A63:B65)+30</f>
        <v>30</v>
      </c>
      <c r="B66" s="301"/>
      <c r="C66" s="160"/>
      <c r="D66" s="161"/>
      <c r="E66" s="161"/>
      <c r="F66" s="161"/>
      <c r="G66" s="161"/>
      <c r="H66" s="161"/>
    </row>
    <row r="67" spans="1:8" x14ac:dyDescent="0.35">
      <c r="A67" s="9"/>
      <c r="B67" s="9"/>
      <c r="C67" s="9"/>
      <c r="D67" s="47"/>
      <c r="E67" s="47"/>
      <c r="F67" s="47"/>
      <c r="G67" s="47"/>
      <c r="H67" s="47"/>
    </row>
  </sheetData>
  <mergeCells count="11">
    <mergeCell ref="A15:B15"/>
    <mergeCell ref="C14:H15"/>
    <mergeCell ref="A66:B66"/>
    <mergeCell ref="A48:B48"/>
    <mergeCell ref="A49:B49"/>
    <mergeCell ref="A50:B50"/>
    <mergeCell ref="A51:B51"/>
    <mergeCell ref="A62:B62"/>
    <mergeCell ref="A63:B63"/>
    <mergeCell ref="A64:B64"/>
    <mergeCell ref="A65:B65"/>
  </mergeCells>
  <conditionalFormatting sqref="A19">
    <cfRule type="cellIs" dxfId="2" priority="1" stopIfTrue="1" operator="equal">
      <formula>FALSE</formula>
    </cfRule>
  </conditionalFormatting>
  <conditionalFormatting sqref="A20:A47">
    <cfRule type="cellIs" dxfId="1" priority="3" stopIfTrue="1" operator="equal">
      <formula>FALSE</formula>
    </cfRule>
  </conditionalFormatting>
  <conditionalFormatting sqref="A54:A60">
    <cfRule type="cellIs" dxfId="0" priority="2" stopIfTrue="1" operator="equal">
      <formula>FALSE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8B962657F90F4C82D673703A89B810" ma:contentTypeVersion="4" ma:contentTypeDescription="Create a new document." ma:contentTypeScope="" ma:versionID="480a77a3f197f267e0daa9f5724b6a23">
  <xsd:schema xmlns:xsd="http://www.w3.org/2001/XMLSchema" xmlns:xs="http://www.w3.org/2001/XMLSchema" xmlns:p="http://schemas.microsoft.com/office/2006/metadata/properties" xmlns:ns2="441944cd-a7a0-4e00-bfe4-94534309c52d" xmlns:ns3="cd468123-9462-4689-9367-3f4a04456349" targetNamespace="http://schemas.microsoft.com/office/2006/metadata/properties" ma:root="true" ma:fieldsID="498e0f4287e11e2e3ef496b3f989207f" ns2:_="" ns3:_="">
    <xsd:import namespace="441944cd-a7a0-4e00-bfe4-94534309c52d"/>
    <xsd:import namespace="cd468123-9462-4689-9367-3f4a044563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1944cd-a7a0-4e00-bfe4-94534309c52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468123-9462-4689-9367-3f4a044563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c 7 a a e 7 b 4 - c 5 a c - 4 5 3 d - 8 2 8 1 - 3 8 9 6 5 1 e 3 c 8 1 6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 4 4 < / L a t i t u d e > < L o n g i t u d e > - 9 3 < / L o n g i t u d e > < R o t a t i o n > 0 < / R o t a t i o n > < P i v o t A n g l e > - 0 . 0 8 7 2 5 1 6 7 0 1 5 2 4 7 0 8 1 7 < / P i v o t A n g l e > < D i s t a n c e > 1 < / D i s t a n c e > < / C a m e r a > < I m a g e > i V B O R w 0 K G g o A A A A N S U h E U g A A A N Q A A A B 1 C A Y A A A A 2 n s 9 T A A A A A X N S R 0 I A r s 4 c 6 Q A A A A R n Q U 1 B A A C x j w v 8 Y Q U A A A A J c E h Z c w A A B K o A A A S q A f V M / I A A A E T I S U R B V H h e 3 b 1 n l y P J l a Z 5 o S M C o X V q U V l Z W p L F L h a b N R y O 2 t 6 / s J 9 3 z 9 k v u 2 d 3 v + / p f 7 Q 9 f Y b T O 9 M k m 7 p Z V a x i a Z G V O j N U h t a B i A C w 9 7 n u B j g 8 3 A E H Q i R y 3 0 h L d z d 3 A O 7 m 9 t o V d s 0 s 9 Y s / f l y V E 8 T w u Z u y U + q X g 4 O y l M t l q V a r R 5 J D c D + M Z u d A M V + R l 0 c W p V g s y s b a m o y M j U k q l f L P x m N n e 0 v 6 i v 3 + U X v 4 a i 4 n r 5 w 7 8 I + a o 3 S Y k k K 2 + T N U 9 P T u g d 4 z W 7 1 + Z z 8 l l 4 b L + h w 8 v 9 h 2 Z j 0 j a d 2 e G y z b Z 8 j f 0 2 v / e K 9 g x w 7 v X t m X P i 0 T r g U f P c z L + l 5 a 3 r y g + b m q b O t 3 f z a b t 3 N c U t A 8 7 m 9 9 N 2 1 5 Y f A 9 Y 3 1 l K R a q 0 q P X X h z S d 6 n 5 3 O M H D w p 2 7 0 8 T z d 5 1 8 J z b T 6 f T t k / K Z D K S z W a k X 6 v B 6 q N P 7 P x J I f W L P 5 0 c o f q G p q W c O a 9 k q h i Z K p W K E S O Y H J o R p t k 5 h 4 z W g 3 P l z + W 5 6 9 f k 7 r 1 7 U s g X Z G J i T H K 5 v O T z X s W J w s H B g V 6 T 8 4 / a w 3 d P c n J 9 / F B y 6 c B z a H q 0 m p W H q x l 5 c f J Q R o t l u b O U l R s T h 1 Z x o 7 C 1 v S v 3 N w e l X E n J G + f 3 / d x G 7 G r F 1 f c u + U x j W X w 9 n 5 P Z D T 0 R g 3 9 3 c 0 + + a X E N y G r 5 H V b 8 g y a A W J C n V 0 k 1 V q x I R o + H e s r y 1 X x e y q 1 f 0 6 m i H V I F E + S C V L l c W r K y L N s r D / w r j w 9 r 0 E 4 q V X P n 5 f C w e u p k A o V M x X 5 r b m 5 e r l 6 5 I q O j o y q t + o 1 M h 4 c H s r W 5 G f l d 1 W p F S q U 9 2 d 7 a 8 n O S g x b 9 t 7 c L 1 k q D / X J K f n O 7 R x Y 2 0 y Z Z o B c F + n w T M o F H K y K L W 2 l 5 X c l E Z V 3 a b p Q S S K 2 l n b S k 9 f v c b z m 8 P N 1 c Q v 7 q V k + N T E i m F y c P I i U l Z M o p W S E J W 8 C 9 / 8 2 V k o z 0 1 p n m J B H 3 9 H g t I w + 0 4 f h 8 z i M T j d q L U 8 k k 9 m k g X K + C C O a 7 6 1 y i b l J H r e F P j U k 6 k z t S l z t O / / W E J F R x 6 m 3 Z 2 9 M X d X h o N x w k F A h v o 5 B O V a 1 F N j W o B c 6 r C s K L R x V a X l m R 4 a E h a 3 X C K O 3 t y s H + g f Q P D v o 5 H n Z 2 t q W v r + g f t Y Z T s d y 9 U f l y + n M / v r p n r T 3 5 q G c 3 V I K 1 w l e z a X l h u m K f o 8 L y X T v 6 + W 8 X c v L 2 R U 9 i b S m R + v O N Z f X J 4 5 y s 7 D S X P E H 8 e 5 V W q J 6 / v 1 t X D y H + I y U G v / n z 5 / W F x Q C S f 6 s S e S / B u 3 j a C E q j M N y 5 4 N Z J K R K q X y G v 6 v b i y a h + j U 1 j h x i + 8 J a 2 + h I p m U A z E j l w T V k b x i R k A l x F S 0 y F X F 9 b t 8 K J Q q G n t 0 a m i t 4 f N h S / l U 6 3 r p j Y K n 9 R W + R f v u + x + y L R K l 8 e O Z Q f X y v J T 6 9 7 Z A L / e r 8 g + a z I / G b r 7 3 1 u o m y f 2 y q l 7 J k B 0 u Q t t X c c 9 v W 3 k W J g W 6 9 7 s J J p i 0 z g l y q t g m Q C F 7 Q h Q n 2 j 3 O 6 v 6 A 3 H Y F w l 1 9 / q M x Z D p O 5 G N K t f 4 T r I l u Q a / b K + A G 1 v p X / 6 b T t / X K i E + u R Y J d Y / f k X 2 K 6 O y v + + R y R G K L X A P A o L 7 Q c T l N w O t 7 4 Y a 3 d 8 v Z i W z / K G 8 + e a b / p n k 2 F h f l 1 w + J z 1 K u n A r h 6 3 i 1 K t V V b 9 m 1 r N a G Q 9 l u K 9 i F b x a T c l A j / + M m p I 1 A 8 k B e a n 4 4 E 8 q H Z F g p 4 E f X N p v U P G a A T v x 1 m L O p J t T B R 0 m U 4 9 k U S 5 p u f g Z T w H h d + g Q z H f 7 Q S l F y q m 6 0 Z M v y e b C 1 3 a + U 6 Q b F c D 2 U j q b E z X D z Z Y J k s k R 5 L T I R E X D f s E O o J K P D I / 4 Z 9 r D o K q J v b 1 9 V r h 7 q q / i L d z Z 3 j Z J 9 t K U J y 2 Q U v z e q + e 0 4 i m Z e H S k V P C u y U u K / f 1 9 f W b / I I Q P H 9 a l i S M T a u R p k Q k E H S y t c G m k H E k m M D o x L T + 5 u n v E i X K W S F L H w v u u 3 p b V K N w / L E g 6 p + + A 4 u 4 w + Q p L Z y h O v K q G n a f q c X P B F E T 4 2 C E u v x W m 1 W 6 6 t 5 y R u 0 t Z G c h s y t j 4 u H + m c 1 Q r Z R k c H p a + Y l G N 1 I y R z A r 7 Y F d S l V 2 1 x f b s G F D Z B 3 3 p 1 A r Y M H e W s 2 b E L 6 t d Q g N J K 3 9 Q 4 Q 1 Q B i I H 2 j i A H 1 1 W v T m E + R b e u u P i 4 0 d 5 u 8 c k 4 K r n Y m z E 7 5 d y + o x p e W V i u 9 Y Y P A 0 k q W v s h x N 1 W M 1 / K Q y 9 7 F / V G W h w w i R L l A b G r 5 k T w t l N J H d z I L w 9 S U z 2 V 5 R U F e s j e f x 4 R o r F X v 9 M Z 8 B x 0 R v h o E A V 6 O v t k U J B U 0 + P H f M 8 5 i V U W w x 7 b G V 5 S X Z 3 t m O f E w / b Q K E i c 0 o M J A 1 e u x c m D 0 w y Q K Q v 5 n I 1 L 1 s Y j 9 a y s h r T T 3 R S g N h r q j o n x R W 1 H 3 n / R 1 G 1 f q 9 c d U t u F h 9 6 / W n + m b N G 3 L s I 5 3 N M c v X X P H 9 K q v 7 R F x r q e j t J S z I q u 3 l K Z / J y U B 1 W R h 8 l E n D 7 w b w w m p 1 r B l o A 3 N R 4 B I d U 9 y + V S t r q H 6 / S Z b L x x n k Y S C 4 I h o u e D u L + 4 X E j o 9 P N e S n 7 e k + o d v R 5 o U o O 5 X Z k u r g n x e y B 9 P f U J c 6 3 T 7 I m b e P w n Z 4 / C 9 B h j Q q d F P / m x p 7 X E g d w d b Q s 0 w M q 5 Y e G Z W J y y h o N 7 L N u Q 1 T d Z J / k k a o i + 9 U + y R V w Z H n 1 v Z 3 U k Q 3 V N / G K q X q O 2 c G b D N 5 o H J J c E w d a 8 4 l i 2 T p F p / s P 9 D 4 O r R J 3 i n L 5 U L J q C 3 a C b + 6 v y O / u 9 M i v v + + x y o / X D t d 9 v l C w / j A 6 k H t U s k F A f m O 4 T 8 m L A a b A D s H D x 7 O 4 l 0 m X A y S k H + 0 4 z 9 Q u u K V 2 b C k 8 l L j c c Q x d H v Z U w P E + z 7 4 K Y l g b v B 9 f L a l d 5 W e c I Z L W Q 3 e d e w e U O / Z U q u + 5 y L r f K r X d t F + 4 + U b N R e 5 u K H h j D u F j h 7 j 8 5 E i p Z K p a P 8 n W Q V Y u X 7 4 o 6 + v r / r n 2 k c k k l w L L O 2 l T 2 b C F / u U 2 R O m V 9 5 8 r W e V 6 Y f J Q + l U F B f p e 5 P d 3 e 2 R 2 v b E m 0 f f l Q O V 7 8 8 K B S T Y S 6 m R W J S U k h H x R f W q n h Z s T 3 I d / 0 C Z u 6 n O / c W F f B n q O v l c a B t z u z 4 2 r i v s U n B V J 6 y D H w X R 4 S I M t a l O f 9 6 9 I j r Z t q O X l l P 6 g 9 8 M w O g j y g t v T w A 1 9 O d g e i 1 t a 4 f T n 8 d J R G e P Q r G M S a d A O + K 5 e r S B E F / z s u V 2 5 f q 4 3 0 q u 1 u J 2 x P i o 6 n x 0 8 z 9 j p l c t x c N z K P q H l E Q X X W N H 3 9 e J U 8 + i R 0 0 J c X Y y q q + y 7 h O q 3 U 5 n U e + Y v m g t R S W t i V H Z 0 K k 4 e V f W C q R W S X N M K f M O K S g o q 6 6 C q F P 3 9 R R k e H v Z O h s C 1 U S 5 e h 3 Z j + q g Y l A T Y 3 I i X i l N q S z j Q Q U v E A Q Z 7 u 7 Y e 3 4 P H 7 L R b 9 0 9 n 8 v J r l b h r M Q 6 Q T n 8 d y Y s m Q 5 + a 1 S B X e F 2 G Y P 1 l 6 + p 3 W S t P d u g N z a 1 z o F V q 6 w 3 v H + S M u W F 1 L 4 j w s U N c f r s g 8 P P 2 U l b 1 + N b f R 2 W m Q z Y K u z s 7 / l 5 n S K q S / e V x X o Z 7 K t Z 5 e i B 9 s d H d U X j t 3 I H 8 5 F p J / o 2 q l a c N l I 2 / P M o r q a g Y d d C p T U h U p 0 D t o 1 G Y 7 C / L O 5 f 3 z a 7 q O + P o i 6 R 1 k m O X H K k O 0 f 3 a Q G K n R H H q D V P 1 g m R y c P v B v C D i 8 t s B L w L w T b R 4 O C V a A Z f 1 h L 7 I K P T 2 9 f l 7 7 Y O O 3 2 L / g H / k g U c k a s P 1 K T l c U q n G P X w 5 k 5 I 7 K z 3 S n 7 D / K o w 4 t e q k 8 Z d H h V q / F M M 9 C H 9 6 6 R g B s D h k N t b X b J / u g x 9 e 2 j d H x a X h Q 3 s / P R G B u 6 e B V n U z f J 5 j 0 8 J U S q U H X o 3 k R F R K 1 F w W + s d 9 R 8 R R N Y 9 0 F q C 1 / t m N e j D n + c H W Q a h g P + K y d m 2 n M D Y i 1 D 0 i G q Y G 6 p H b D h e 1 4 n y 3 m J P l z Z K 8 M n 1 g w x + C Q M 2 i j 6 o V i N Q 4 K 9 A 3 B l 6 d 3 j e n w 3 H R P z B o j Z A D R X B 9 r C x / o x L r X S X X 8 + O H e n x 4 K h 3 C Y c 9 j M 0 T V b V P 9 y k q q n g v + V c 2 R y C n B l 7 n w I n 4 k C u 3 m t w s 8 a w y V A I Q A Z b U O L q n x 3 w q T W s n D 6 H Q 8 l E M 2 4 v M X h 9 W m i 5 A + 2 A 1 a b D L S U 7 a B e k H Q + t 9 S q T Y e I 0 W D 8 L 3 t Z w J i J M F J / S Z O I z r C g 6 D h y a t 0 w g V / Z d Q j F K p x O w R o B v c 1 Q R s 6 a R 1 1 x 2 z Z 4 z s q q a E j v I h K + j h R 2 f W U L 0 7 I v j a O j k z h 1 A y t z i c F L 5 Y R r Q 6 M 1 v 3 t n U L k O J 9 W Q K e P Q p L B d o C W t j + k 7 j X D 7 D q j m k R u T H n H A J W K s U W 3 l 3 M W y h N W E + O A L U X f D + n f P b + n a r C 2 n N K a j K 2 A P R q 8 A y r Q 5 7 M 5 v S / v + H d 3 C x a g 2 w 7 m Z x + b e Q B M R V Y p 1 a w + f K K 2 5 s W R s n V B n F P t w 4 1 Q 7 h R x v 5 S 0 z r J 1 i W / D Q Z E q I K X q 3 I h K L W 2 o V M 9 5 E 3 m d S K e T A i / 8 3 n L d u f B k K 2 M 2 B S + c W L f v V a V y r W o z c J / N O n G / m s + Z f d Y M r i + J C p c E O 4 d p V Z 0 O J J / z 7 v / J Z l o 2 S 9 p Q a W M w X i z L K E Z 6 Q l U n q E 4 i + X 5 4 q S Q / v b Y j P 1 L V 6 T j S h B C u s L o F 0 R n v B d 6 / X p L 3 r j U 6 R s J 3 H I w H p K 4 M j 4 6 b Z F p b W b H Y y E O 1 e T d K G W t I w t j c S 1 l Y 1 p A v 4 V + Z P j T 1 + O Z E e + q m u 9 9 O E K 7 D 7 p g t u x w d i j a k P i / i U t P X 0 D P I c P a n K 5 0 A 9 x o E H j P U v l F N d P C O a c V E 7 y c k q R k I C Y o D q g c v s Z U e z 1 A P g L 2 U B D d U l a H y u z 6 Z X S U Y Y T 4 E 9 m I 7 H M e V j C 2 H + o q q i X 3 p K m S 7 w P M Y j G h H N W 0 2 D g p S b I S 8 g X e 1 w W P g I o 0 c R D r Y J y Q s p c Q a t U b q 8 9 m 8 z X P x a D 1 7 J B g X s t E o h I H j o h 0 V 0 E n U V k h a d 1 0 9 t 2 P 9 V 2 E / 1 9 y W a l o D q 9 n x B u l U + / I A w s e n A Y Z Q B L G s t h P e I V 7 M q + e 8 3 n h c s q 0 q O S F B x 4 W z n + K 8 h 1 G g j K h c 3 y z k V K K m p a Q V 7 N 2 r x 3 M y 4 D k b H B z y j 7 x G h z J g U h Y 3 T q t T v N 7 E A c I 4 M R o d o l U c 2 F v R h o 2 5 N Z h 3 A + C I c K D z e 3 s / b Z L u b b 2 / s K p O 4 x j V Q U 5 j g 0 f w r B B V t 1 0 y M u n p Q 2 n u H U 7 9 9 w 8 / P / o k i o H J 5 2 R r t 0 8 l l D d 7 U R y p g v s O U X k n C V q t / k L F W n g G / C V p x H Z 3 d y y q 4 j i o a h m k m k R l g D 8 / K J i b O S g t K D / X b 0 U j g L q X 5 J 7 j w L N E D Y o M Y 2 E T d d i T j D R K X M 7 d M 5 Q k D k j U q 5 r a A a / 7 G y U S Y V m Q D U n P P R L P 6 C Q z P 9 n u M 1 O P e E Z G H p 8 G 4 s r P 5 b M N J h 4 0 J Z B f N Y v 9 6 I l d Y g m V H 3 1 N 9 v a I a 2 q c I w K E t 2 G c N q G I 0 L 4 + e i h Z P E U J 9 e Z 2 5 5 C I A p 4 q o s y b g f C k s D d v e 2 v z S L 9 V E N h U z B / h v 8 e m 4 H 2 g U j U L t 2 o F 1 D N S E N i p f 6 s S x A 3 p b x e o s S X l I Z 2 2 f I V X / 6 q y u b n R I E k N m k + L H / c M j D 3 b 3 d u R 4 s C o Z F I V + d 3 d P m u g i K U 8 S T j i h O H y g 1 u 7 V 7 1 n J v l h p E O h f N f O h R H p l B i 5 + M I R 2 8 m h F V l O m 0 w G / Q l e X D t R z J C J 8 U v H Q S s y g T C Z A E N M 4 s C c D w y n Z 3 6 M c J 8 Z 5 D w I a G / u X R y H T O D i 0 F E J 1 K e a W p h M V G C 8 b / d W s u Y F p c 8 M j y R z / I X t F V S 2 g U L V + t l c P a U i 7 i s 5 1 t Z W G + s F + W p j B U F D c f v W N 3 Y d Y 8 + K A 2 P 6 e x n 5 9 e 0 + V e U P r T / v p B F X V 1 1 + 8 D z 7 7 o j G Q H q e r / E l m C L f z O 5 e X s l U f 4 E u B R E + P i u M 9 1 e E C U Q 6 + X U m b O k U W 9 r S d o p U j G W N s X 5 l R N V p f R j i B J n k x Y E K / E B t k p z / h l A 3 9 / f 3 j t 2 H B o K / 4 7 C h U h J 1 1 Y F 7 m l n L 2 P w Z E P u 3 t 3 v M B o R k 2 K x J P W r D o 2 O S S W e 0 T u 3 6 O V 7 d Y R o 3 S L X 4 Z M G 2 R N r f u P m S k R D g 0 f z c 7 2 B e 3 s m Y A + p p I V j / + Z / d U l T E g O I I o Q p 9 A 9 b v F L S b H F q R q N X 5 4 + L y y I E Z v x Q t x Z 6 0 / 8 b B W k w e r g O E W 9 R 2 w D A P B 2 w o Y g w B 9 g Y z K L m w q i C 4 g k F 6 g H 4 c V N b g 9 5 w G G M + 1 7 0 s e h p 6 U V X I y L R p e R I Z o v H u l Z I M I 2 w F E G R g c l I P S v q y u L J n 6 6 1 S o P J O T T k 7 Z N g w a G 1 e d U E f b G Q D Z D j q q 0 5 p V R u J k G q e m A 9 p 2 h v 5 6 L i i Z v C 9 y X x b + 0 q g f i f z h E 8 Z + m d a x Y j O z E j m R 0 Y J u 5 2 d 5 i c 2 i x J t h Z L T z e S v y e a + l R e o w S l f r q e 3 T l x W e y N L h k 5 m 8 2 V Y 0 b A e M K 2 q j M z k J 4 r o H P v I n i i H y g 2 n N z q n k R H q i F f j C I z G C Q 2 e G h o e t D B n l b B P h V J o T M 9 i v t l V K 2 / 3 i H e R e A N / c b L R z O 0 h S n z m 2 P O + f 1 b u 9 y n C d N / 7 f E R v q s J w z y U Q C 7 o u j f v S s s b m X N t c w / U 5 0 5 h J 6 1 O 5 L H l A D u d 1 n 4 X q n i n Q C J x U Z d F i p M P m L N 3 E m H d S o W e G A Z q Q Y l X l j p y K l A 6 1 I h Z P 3 c i E Z Q T g 4 l T 6 h M O j j a z P o 2 s a r 4 V l E d Q y C c m Q i n L H x S T + n j k e r n h 7 J Z 4 K D M 5 3 G P O g P Y k T l h P D M L X I W i K o v 5 N C l F O Z P g 8 q X 7 5 8 2 6 R Q m U x B J 8 0 4 D t O Z 7 B 2 l 5 e c r z 8 N G 5 G H 5 h r Y A r d y + g z y c B 0 z o f B x W t j Y y J y q S 4 2 a p J W F d J u H / c 2 0 H Q E q e q 3 h w N f T 0 R B s 8 J o K J i k g i N F y Y P b W i F A 8 6 G L + c b 7 T Q a s n b f M P 1 0 P D M p C f A Q M k 0 Z j g 9 i N h m i 4 0 A Z 0 Z n M P P C o w W 7 L Y g b M K 9 J O n 2 A c k t R r d + x y O S x V A z F l i k Y b K u d 1 5 P L B c O o G c B e M z w G b q g Y w I X + M v d 8 U 6 6 u r / l 4 y x D k V k o K h I g x d Y A U L D G z 6 q W 5 M 1 G M K V 0 J j p G j Q U E / b m T y m X T B 7 0 T t q E 6 F 2 I i m D I J w r a J / S u d q J O x 1 y M h i 0 G Q 7 1 d 4 h w + c O 9 H u t v Y k x W V C P p n B K 8 C j e e C r X w u b F D k 1 h x K u x J w X H A / Q q H p P 1 y 4 z v S W 6 L g V P t L Z 2 N d 5 Q 7 d Q K w t 3 6 e g J m v b 0 s l h + v w F 2 d t N N s C Q Z 0 7 i L o 8 D n 4 c c 6 P 6 s 3 E G F I A X V F T f l s g M u 5 O O o m E m B B 5 F I k 6 g 4 w O D P t 7 q V O H X w p 9 d L 8 g N / r v Y g N r Q x R O I g i X 5 z p 6 A q Z f x q K Q 7 Y z F F w R L N o 9 Q j n z n H R U O d D 9 Z 8 j x k t V B V J R S G p D e R v V S y d e N N 2 e L 2 i H O O 1 c e x J w Q y Q u D F V s t q F m 8 3 M 3 A 4 Z + E j B 2 6 r i V 2 3 0 e m 4 I K z C H 9 N d i D g J c Q L M Z j / l x b Y J j 9 v w 3 F A X J v S U Z E 4 4 n 7 z e 1 C J C E d k B z B 2 D 3 2 i e l D F c Q x g + R D Y v / s O S + K n i g L q 5 Q B U B 6 U X d C B g 6 P C z V m I B 5 t 0 W V X G 4 6 B V X e Z s + B q O t g + Z e 8 L j U c 0 p 4 U 1 a 2 R g N c d Z k S Y J v n z B M W 1 t 8 v 6 N v I L X S t O M 0 D s m n D j t e G Q S H 2 l N R C Q W i f w d Q i W n B q T D B K I B m Q b y n h R / 6 5 B 7 t 2 b M J Z o I k i A O q 4 b V R 7 z 0 0 Q z B 2 j 2 D m Y L W C V P R v M Y s U C y 4 Q w R H W P L i e S T 9 d p z k j C / D w M u s t C z k 8 2 c q a W 7 0 3 V 2 8 U T g + B m 9 N d O I K N 7 H h k b z G T 6 1 M 1 w z s Z J p L b D + Y 9 T X D v 6 7 s p z z t V O Z R b t x / I L 3 / 5 a / n i i y 9 l b W 3 N J p Z M A h c 1 3 g p W W M d A s N z o r G T t K M L 6 q C C A w F C i 5 2 0 W J x 9 7 u + 0 5 T U 4 C 1 A c k 1 f W J t A 3 e T D L W L J W q t j 2 z b X C Y D Q 0 K h H Q 2 E R E Y c c N n k H R I L k Z G M y i T 8 V m 9 W a + D H w c V c 4 e g O h 5 X u k f V 8 8 a 8 o z 9 A 5 M R + 2 Q t r S / 3 y 4 6 + q v e M v C + u P o d 4 4 l 3 m Y S K 1 / 6 G y A e s C k I T b G S F 8 6 F Z L 7 3 t j Y s P T N N 9 / J + N i Y P H f j u h Q K B b V / 6 r O 6 t g s k x X E j 1 A 8 O 9 o V V F Y O A o 4 T V 4 P 5 3 x 3 / S 1 p n x P 6 h g T O 0 c N T X 0 W S E Y z N s M J i m U V I y n C g M t A t c 3 C 7 I 5 F Q 5 H x 5 8 f 5 E 2 a 0 E n s h o h A I q R T M 5 u Y 7 8 C R c y v k N a R h D Y 9 G O C 6 i 6 k t j n g q d G k / 0 H V b d y o 6 L n o Q K j 8 h 1 a E a m p 4 W i t l Q s e 0 n b 5 F 4 A 4 T h j S q J r 1 6 7 J f / p P / 0 G e v 3 n D n u f 3 v / u j / O N / / i + y s L A g K y s r s h N Q v 1 a X l / y 9 e G h p + H u d o 3 x 4 V K / H 5 v j O j w I H O w d p U 7 G c + / c 0 v X t J w H z t S Y A 9 G 0 U m g K u d K A u m T w N U o T / c 9 S a A Q R I 6 M g G k T 3 g u j j B 4 1 5 A p X N d P m k x x a M Y B T l H f Q N p G U w b U v W 4 H c / G B c 4 M V m 3 A y D F r W k Z E R m Z i Y k P / h 7 / 6 j / P v / 8 H M b 7 L a + v i G / + + 3 v 5 A + / / 6 N 8 + e V X s q e t y J a K 5 a A 0 D g M P z n G x t r r i 7 z U C G 8 C p e U g o 1 C z X k i 8 v L n o 7 P l j E j a g D Q o P w j p 3 m 8 j a A j t f j g s b B N A j / f X 3 4 0 F t G l B U a 3 X N S B 3 k u 1 x W S R J E 4 i y q a h A e 1 K / w d 1 L 7 D i q q c f 3 p Y r d J v i a s 2 H L 8 X 3 g a R 5 E d P A 3 i C 2 g W D 8 Y i Q 4 P l 2 1 T 7 h W V d X 1 2 R + b t 5 I d e n y J R k a G p T e 3 l 5 T E + n 8 x d V N e E y n 8 5 4 7 2 E D A o a M T c U K M o Z 6 q D Q a k J L e 0 J X c D A y H U m D Y I Q f x 1 J m + u Y 6 T C O 5 c 8 R 0 Y Q v A 7 U r K T j w 5 q D O z p Z 0 u I i J z o D 9 z a g / n w 7 r 5 K 5 k j X V k c l 0 K J M 4 0 H j G u c 5 P A 8 3 V P t W O 4 I k l g p v 1 v V F X 9 P Z S v 7 l d r b p x T 1 Q 4 H t Q l h y j y R O W d N j C U 6 d v o B P u l P b W H G k N 4 K B Q 8 h I Q G s V 2 Y X 1 C C b c v W 9 r Z K u H G V d M P S X + y 3 V Q 7 r 8 4 5 n I w s 7 D n w 3 B G 0 H R H I 8 3 B i w f i v X o U p p H 6 h 6 g 2 o U 9 f N U R l z R V N p 2 5 2 K I A v W B Z 2 2 F M P W e q D S 9 u 5 J R G 6 n e / 4 Q E / v B B w Z Z R X V p c k N G x C S t D V 4 4 o A r j E k W J E c E S B 9 / 6 H e w x 1 8 T N O G X H v m G z u g X F R n h 2 l n D E h V F b 7 S d / N r 7 6 r V k u l + F G 5 3 U I m w A h d p p x q B 6 z l R C z c 0 t I T G Y + I H w u D c s D J A c H Y b m 5 u y b Y S b P G J q m F a m v 2 q D g 0 M 9 G u l G L U K R 0 K a Q T b U T V L w Z a D y D Y + M + k f J c O f h k s w c n L e + N l r 0 m H f b A L x f u J 8 x 9 t 2 i B c f B 4 s K 8 T E x N + 0 f R g D y M 1 P 3 B x c b f p H o E 7 5 l o C T x 4 U 8 V d 2 V x f l 6 H h k U i y 0 q f l Y g l d x X V A M 4 F 4 9 D 2 e F W I b T r 0 x + w s S q k K 9 V E L 9 9 6 + r V Z a E g U w u e Z / x n q a b C P W z a 1 t 6 y 5 U j X r N m w M A e H R u 3 / q B O Z 4 v l e U l B o t G C s 7 + 3 V z L V c f + g p N d 4 w x I G B w d V w o 2 Z h 5 H f Z f i C a 5 E t p E h J x 5 b k 8 t w W C f n / / L / / K u d u v C X F k f P y 5 v n 9 R G E 1 D L s g 2 t m m B E t A w F Y g I r y V L U U M 4 m i x X B u z F Q f W n 7 o 4 u C M P 7 n y r a n W P z M 8 / k e e f f 0 6 m p x s J S x / U P U 3 W + a 1 v m u f + 4 G H B b C 6 m F 8 O h E V 6 E + z Q R R y i T T n B A k y N U B U J p f u q / f Q W h u t 9 d P q 6 2 w Z t q 0 C 4 v P l H 7 o r W k C Y N 7 j i u g 4 4 L v x j 1 e 0 S b U k Y 0 8 V 6 Z I P c i 3 t r Z u t t v O 9 o 4 c l v U a / x x 2 W j a H t M t I X h u L h 1 t F c 0 f f f O U H 8 s O r k M / / o Q Q g L m 6 0 r 2 p 9 M 2 s q G e h W 6 A T c V y v X O d N / R S 1 j E w S O C A Y n v j U + L w s q 9 U Z H R 6 V P G 7 Y P P / x I 3 n v v x 7 Z + V h D Y S X g G g 0 P 0 U X N Z N u i z G W + E w V k h n l A 0 s F q u 9 o 4 D h N J t 6 p + + K F e d u u c I R X I f j E J c / m m C S f N p s R j h y a C 0 J G B Q o B u 8 R o V P p z 2 V 7 L j A E 4 5 X L o g n W l k m W 6 h I D p S f K 3 P I h 0 g x t U H z 3 T t Y W V m V h w 8 e y t V r V + y e U S n H x 7 2 5 7 q J e N G / k z m J G H q 4 R a V A / / / L U Q c O y O k l B w 3 A S o 4 N Z O X 5 L 1 b 3 0 6 p d 6 / x O a x i x / d n b W H E B 0 d 4 S x v b M r u 9 W i F J R I m / t p O T 9 Y N m 8 g N t R Z o h W h G u w o f Z 8 c Z / 6 n / / X / / n v 3 E p M g 6 X U n C Q r W L Z Z M o O r s z C N 7 W F z + t v y m k o W w q Q y V j Y v 8 g k A q O P W Q S r m 6 s t z 2 R C 0 Y y 4 v a K m 7 p i 1 3 f V Y N 7 2 b O R m D 8 h C L O h E h j x w O 5 d 7 5 V 7 4 i X k 9 H P M o 4 D z g k p G q z 0 8 P C h T 0 1 N m a 3 D 9 4 8 e z 1 p d W K t F R n F N J t 1 r r V + O a f / r s Q O 4 / e C C 7 2 x u q F K v q l 8 3 b D E 3 c O 4 G 5 7 U a L c 2 8 H + / v H a o A Y V r + r 5 f f 8 R F m e q A 0 6 M D B g n l T A 9 9 6 / / 0 C m p i b t + R x w Y C z v M i u w 2 o U b W b M h K e l P Z 5 M v r n 2 S C N 5 b E K i k H h e 8 r b e v J f + L z w 5 M Q p E B s Y A j j d s G E Z V 3 2 i B g s t n U v N y T e 3 C e h V G 5 t P y 0 i H r C 8 g H X M b 1 V u 6 S i H 4 i x S a z 4 Q f 8 R Q 9 j p Y z k J c E 9 4 9 V p N c Y Z 7 / 9 a t 7 5 V w e S X W m h J u y E g 5 N 7 c g 1 U y v P H y y J 0 M X X 9 P H r c r G v F 4 3 M C H 9 4 5 f V b u x X y Y 5 t 5 a l f D M V w / U C t A K F y b X o o H Z A o T D D j G h 7 I g / 0 0 N e V p F 9 S 1 v / 7 1 U 7 l y 9 Y q M q R r I + 6 N q E T H C Z w l H + p s r J S P k F / N 5 6 4 N 7 G o g i l H F A E 5 L J h J F t U f 3 K k v o v n + 6 r 1 O p e + 4 n n o W c 9 a S V w 8 J 6 p s R + J O L + w z n 4 S o E z i W r I k S G K v A N f w 4 Q i h c j I l w O 3 5 f X m 4 s C W H 6 T 7 p 6 x / S + 0 j L o U r s 7 Y 0 l W X 3 4 m R T H L i u x r k h P b 1 G K q j H h B U x a l p 1 4 K A H e O O b + Y E I d h / v 3 7 5 v 0 P X f u n J + j E m x z Q / 7 y 0 S f y 6 t v v y s S w N x a K W W x f O 8 c 6 U l 4 9 o / / t a Z E J R L 5 X f Q f 0 P d X U v d o W 1 3 k I 3 U Q m Q P B k u 2 Q C t N 6 s l R o E e a e B 4 8 y I B J a X n v h 7 z Q H p U O 9 Y t f H b x R 7 5 4 / 1 e e b I 3 K M W B I U 0 j R i Z G 4 W Z V z R 0 a O y / n X / 6 Z 5 P q G Z P H W H 2 V l 7 r a s r G 3 L l 3 P J 1 F I A m e Z n Z / y j 5 M C x E C Q T D Q F S t U c b g S A G B w b l j T d e k 9 t f / V V + 9 V X Z y I Q m 4 G Y A R l o 9 T T K B S B 7 4 2 0 a o 2 q f / p / n A 0 y B K E u A C d j 3 r 7 W J h f u 6 I N G L F d z o W T x r H n U A z q k + m G e 4 8 q c j i 2 q 5 k K z t S O F h U 6 e Q N g G S y T D d T E s g X e m V 4 / K J M v f S + Z P J F W f j + T 7 K 2 s i i L b Y z o Z z D m i t q e I G k 9 m Q j N 9 c A o A M K 9 s H P D w O v 3 + p u v q d r q O R x e V v U e E I 4 U c X n 3 A N 7 4 1 O J / K x r 9 7 3 S a 7 B P C S x 0 u 9 o U n c G q 6 r l o 4 Y K d E T Q 5 y X C z M z / p 7 n Y H I g a T 4 f n Z H l r a z 8 v r l v K l 5 e 7 k J m / C T c C Q W L 2 M E K 0 N E g u 0 6 0 4 9 d P D 8 t 7 / / k h 3 L / 7 l 1 Z n v 3 e I v O b g f r h K v S I r / Y x K P P h / a M z p l K x D u k u 0 A b L A f K h Y u N I + e T j T + X n P 3 9 f B v q P j n x G p b q 9 p j Z U G u e L X z E V p x 2 v e D z 4 V P L v N b A j q X / 8 Z E + f 3 Z N S L g G 3 D S I q 7 7 R A z F r U i g y t g O 0 E 4 t S 7 5 e V F G W u j A i c B 3 k T s g 0 6 R J C o B h G 2 a B 0 t l m R h Q C V m I t r / m N t K y t J W x E C Y X 3 b 2 9 s y d z T 9 b l 7 s y K 7 P d c l O G h A e k t 5 K 2 v h y g F H E C E M R H m x c x C U W C N L a o C J K p U y + Z J p U t i c 3 P T n E G E W y G V 7 t y + K / 0 D / X J e y X x O G z i m E g u C O 2 J V j u A U A I y 6 v T x 8 K B + p P f U 0 v H p R a L S j l C N q J D o b y t l P L h m h n E M i S J i n T S g m 3 7 j W g b r n 7 j H O S U D / S l q N M j e J P a C i E j z L Z z q x s x 4 9 u G 9 9 U P R 7 4 R k b G h m x Y R v Y P E l c 6 U n j / a L m Z 6 d / b e m J 1 9 l N t 0 H c 7 z F S l u h 2 b J T Z 5 V 1 Z W 1 6 Q u 7 e + l o H r 7 8 v Q 0 L C q W m V 5 s J q x Q F V K j t m Q G B W d p E o T c P z X v 3 4 m G + v r W o 4 D c u 3 a V e u 8 x b 2 P 2 s 1 c 5 X g L X R c A Y K S u W 5 G y 2 1 G r S 3 D E 3 x 5 1 S n j R R p G E e t p k A o S a d O K M w E E Q X E o l C o 8 f 3 p f h 4 V H p L R Z V 9 V m z v i 0 6 g H l G J r f P K h E w 8 I k D J F K 8 G c k o u 7 j z V s D 6 M t y Q d i r 7 y t K i S R n I w X l W Q 8 S u O 3 / x s l 0 T B 6 7 d 3 d 3 W e 1 W R F A H 3 f t b X e Z 6 i S Q 2 8 b Q y 5 x + 3 v Z j F i A C O 2 6 e N V k Z W 5 u 7 K 1 d F 8 G p 2 5 K / + i 0 T A 3 n G 2 Y p Y o o u F p l u 9 h p w O N y 7 d 1 + f U + T i x Y t G I s o j 2 E j s a T n 2 F H p k f W 3 V 4 v i A i 5 5 / F k F Z G 4 l U O j t S M b u v e f n O m i h J s T D 7 u K O 5 F S B C K 1 y 8 f F X 6 B w d N g k A s V w Z U f l a K Y H Z T 4 v 6 o + O R R m d f X 6 U j d t j m 5 F x f m r C L h 5 C g T 6 R A D K h a f p 9 O W R A s 9 q a o P o 4 D 5 b m I M 2 Y + a i j g M + t b i y A T 4 H d K w V V j 6 d K o 2 R d j M a r V h S j A k z 0 t T h / L z m 4 f y 3 p t X Z P L G j + V g b 1 O 2 1 h a 1 g q c k p 2 R z w O u G + z s O / A b j z O 7 e e y D n z p 8 3 t b f W u A T q V c k f 0 t / j d + p C J E e m T h r N p w u e y 0 9 u N 4 C u b S L O X d D W T l s 4 K n I 7 x H I v L S k g R L O Z W a m k V J K h o R F T t 4 p q W E 9 M n T M y Y j e w l u x x g b r W q m F r Z y p m p M S T j Y r s b 8 x I q q r 2 k 7 + W 0 f M T B 7 Z K B m D U 8 K W R q l w Y L 8 r A x F X Z X r x j A z G Z z 5 x Z a 6 n o 2 F V u v o c o f D t T k n / + 0 y 1 5 5 4 d v S V + o 3 J G U g O d y 4 8 H o E + Q x k U 4 O S N F n B 3 q z 3 K + / A a Y E + g d s u p J Q D J 0 G V G Y q M q 0 4 L 2 Z h b t Y c A H E g s j t J B 2 k Q 6 W Z z Y L U A 9 z e e M H 6 v G f i e Z p I O M N F + U q h A l W 8 W l S g j 5 + U w V Z D t / B W L 5 2 O l j z C m B s v a c P V I p l B U N W 3 H K j g r a x C M + p O r 0 Z H u X M N E o 7 c W q p L p G 1 b C H F W x i b e c m 3 l k + 9 i V g H e z 0 s Z z d B 3 0 u W u l Y Q 2 g O / L N J U 1 d R y h a x q s R Y 5 6 o d F P n P L V i 5 v F D i + d D d w 2 i k z C Z 2 c f e S + 8 U e L q O C 8 j U a m X E k Z E x c 0 A k A Z W d Y R / E w u U r a h P q V w f 7 p 4 K w c C p V R X u H p m V / a 9 1 s A l a H x M 4 i Y t 2 B + r K w u i e / + m J X / u H D D f l v H z + R j b l b k u 7 D G R L d i C H J e W / Y U A D 7 l B i 4 Z x a + e u q 7 J j x O s f U 2 B n u L r d S N s w R z D j Q D 9 3 p B D f j z F y 6 Z y o W b l r n H m X q r k y V n p s 4 1 X 4 S 4 F U 5 i I n + k Z C v J y t q + e C a T r B 6 C M 4 G h 8 C B T 2 T W J E k V X 8 v H + 9 e R S 5 s j Z X P j O S O u W 2 w n i H z / Z l V / 8 8 5 / l 0 f e f y u 7 a r B H v 8 r U b 8 t 7 N + B h E 3 h U z O G E 7 E k O J 8 6 d 3 8 O T 7 A c 8 O 4 X L R A o Q 7 R h + P Z o m c E m d J u K j F i 4 O A Q E F Y K M 7 A g N l O v O T l p U V r 8 Z M + F / b G c d B p 8 G g Q j I 9 K A m w 5 7 L g k o U 6 M k A W l 3 K T N V a G C 4 g i Y d Z d 5 K J h 8 / 0 f X P c / m / v 6 u B Q A H M b d 2 K K u P v p A L z 7 8 l b 7 3 z r r z / o 5 f l 7 9 6 Z k v d f K c r 0 a L x D B c 8 X i 9 x x z 3 S q c / + o k E S / J J m Z t j u h 9 6 3 1 x t W v 2 v / s a N 6 R h u s s y R O F h 0 0 m 6 g A L c / G x Z R j u Y + M T p s L g h S O C A Y c G o 0 + j g B v 3 O G h m z 7 U D P I B J w b O F 5 8 a I g j P 2 C U 9 y M w + F w X Q C P 7 i 0 7 0 0 H l i t 7 h M 1 n T E U M Y r A v J 2 + + e F 4 u 9 8 z J 6 x d x Z q A W V p u 6 0 w 1 6 A d + J 9 k D / 3 + r q i q l 9 x G d O F C t H l t J 5 J u B z x 3 b h i p G L P C + 3 V n R P m 0 g O Y 8 X m 9 4 H L O w m Q X F P T 5 0 2 C 4 A K n X w R y P Z m f s 5 5 + c N z p s r D n G G K P W / 0 4 5 U f H J 9 E S 9 F G h v h L e w 7 0 + e n B P N l T F o + N 5 V u 1 G 7 v v B 3 d t W Q e / f u + 1 / O h q P V r 0 O 3 k o q a / N N R M G b n N E j G w 1 Q b 3 n Z 6 3 c K M G X / o G L R 7 I + X S n L 7 8 b o e x w + j C c M k n q q Q N A J o A p Q X M / Z S U i 9 N H 9 i E l 8 8 W o I 3 e v b 1 r 7 3 0 3 / K / 5 q X / 4 y 4 5 u A y I s o m J E 5 Z 0 W G K o R 5 3 j r Z B Q p / U a 4 u r + e 9 2 Y E C k 4 m g n q I R O s U 9 7 V y X 7 1 + w z / y y o k B g 6 v L y / a b D G j E z i P k h o l e 6 H t C D Q q r i X T s j k 8 k G 4 X s 0 G q O D N Z 4 Y u 7 x f E V J k B 6 y G X f d 6 n 9 R I G z o k 0 8 + k 3 f f f U f S 2 Y K s b u t z r G / I J 9 8 t y e 7 y Q x m 5 9 o 7 8 2 x f S M j T Y Z 4 6 G M J x t R 6 S 7 G 0 T o O r b d 9 R s 7 h / L 5 f J / s H c a 8 4 C 6 H v V 9 r P O n M 9 S M l / M 5 d + i T Z d t 2 T R a 2 g 5 7 D c Q a S 4 s z e I E P g u N I 3 v c c g E c I 4 E Q c W B Q P Q r 9 a j N c O 7 C J f N M s m + q a C Z j Z G L W W l 4 I U h N 0 s t w o n 2 8 G Z 4 s W D r 1 I 8 b g 5 w w F S Z G Z m V i 5 f v i A V y c o / f 3 U o / / L J j P z + D x / Z P U + / + B P 5 u 7 f 6 Z X i o a J U G V Z n G j W 4 M 5 x I n d I t E W B f S j s q H u s e W e S C Y a n m / k n + m y a T / s e f t s 0 U y W T b H X k 7 X P Z 0 z p q N A l E G 7 o E I D j G E m / 3 D 1 0 K l 9 x 8 H W V m c r G 4 6 M e X N D E J q z v r Z m 6 l 6 7 w A n D h J j O s 4 n E w h m z u b F h 0 q J y s C f 9 B / d l J + v 1 k / n v P B I 7 O 7 u y t L R i Y U F / / L 4 s y 4 + + V u J U Z f q l n 8 m b L 1 2 V / / G N g p S 2 v Y 5 a p h 3 g O j Q F y j Y s b f F 6 M t y D I G S 0 g w / u V l Q 7 y M o r 0 / v y 1 c L x H T h P A 4 5 M P o X 8 P H / r c u y a g A 3 V L W B O 7 C h 4 6 k N 7 t 0 s r 6 t C b r 5 r x v e u 3 k P T a s y I 5 F R F 7 h V a 1 X R x 3 H B R A H X S z 2 r Y D J A e z y 6 6 p e g l Q / 7 B V m L K M 7 x s d L M h W 7 q o U y p 7 j h Y l O o s D v l v Z K c n d u R / 7 h l 5 / J v c 9 + L b n e I T l / 8 a L 8 / J W 8 j O e 8 j l g X g 5 c E j H F i D k Q 6 5 K 9 N 5 W 0 h t A 8 f F m x F w 2 c V R p s A s S z H H V u e X d B 9 N t R U f 1 l e O x 8 t P Z A q w S H t r R A M x m w F V B n G 7 2 A 4 M y n m 8 M i Y S R G c G 3 G g M r b q P 0 o K g n Q H B 4 9 O 2 d w K X u d 2 d J T 8 B w 8 K s r 2 7 L 1 N D G R u 4 x 9 w V B M 3 S J 7 S l k o x o B v Z X y y P y x c M 9 L d + K P c 8 L 5 z J y Y 8 q L O s c B 0 m 4 4 F 3 1 Z / I 6 b z f Z Z R 4 0 f 2 E 7 s a 1 2 x K P N a x L k m t a G s 0 e 8 2 Q o G 4 + c u T D n N w c A 6 J J I g j H y o V J E Y t o 8 X F S 2 W G t l Z g Z i t C B T o J d D q m i n 4 5 S B D l K E C V w 3 1 e y H s z 3 P I e H f E 2 9 H k H A 8 / L G y Y Y t i e H O 9 v L A + 1 M 2 + Y A o Q 7 2 D y y a / 1 e 3 n o 0 h G s 1 Q 4 4 d z R g S d E h D L 3 5 L a 0 6 G e M q g y 7 Z A b A i R F X N 8 O k e B U Q u y F k d E x U 6 1 o s S E 2 p K J g I f r 8 z G N T I T t F S a U H 3 5 U U S G v 3 2 1 F k A s y Q 1 F / s N X v H c 5 j U X 7 d z i D j w D a h m 4 U X n G d f U L l Z X V r w u C X 1 V r Z a p 6 X 6 4 + 1 d S + f 9 7 5 L K 9 2 h l H u q 4 j V L P O P g x g x i g l R T s u d v q C 2 o F J K b + S Q q 7 p C x e 1 k n b u 6 G g 1 h i u M g 5 J H p G Y V P j g k P Y y k k t v K O 2 E j R o W i z 4 x h K Q D p G B w 6 8 k z C H t 1 / f s r B 7 f r / e e T i n 3 e i 6 w j F A l q M 5 o x D 0 N H Q D P Q B t Q P X d 3 I c x A i K R E B d w J 7 x 9 l E r 6 q 1 e E K g b Y G t 7 y 7 b N U D n 0 3 N d R o O I n Q X / / o F 9 V G s H 3 4 l W k Y 5 t 3 s v h k 3 m z K d F p F n P + b X 8 4 / m 1 6 9 S O g j e a T x 3 4 k m 7 9 j P t 6 w u l F C g 1 K T P Z E B b 8 t X V 1 m R p J 2 i V g g i 7 f z t B O 2 O W w s B O 2 1 G S c C 9 I S 0 j F l n 4 e 1 D P s Q S P d z o 7 1 r S E F 4 l Q 9 h 7 y q f H G Y S D j s B D f 8 H I M 9 9 R 5 m H j 0 0 j y h R G w z N 4 P e 5 D z S B i c l p m d 1 U 9 T h b s E B e p F N w r o h n F V C G d + K R y N t 3 + X r g 5 3 P k p a 5 8 Y r W h m y K J N 4 z K l x S M x I 3 y k r U D D N N 1 b f U Z z v F k f l b 2 V N q w s A H 9 T B A D + w q S 0 J q 7 l x K G c 3 i Y C z y T 8 W w 1 t Q N R K V H R 6 D R m N D E B p 0 m 8 i 7 s 7 u y o 1 o t W + n a 3 o + M Y g u M 8 + / V 0 i + 7 k H B n 1 m s h k Z V / J w r z v 6 j D z b m h 8 T a S u x q x H G s / / 1 8 f 9 P p F O A M D W J 5 O f V t n 4 e h 1 1 J K F Z 5 b 4 a 0 V j r X Q x + H d g J O O / G u h Y G D Y n x i 0 l r n y W k / O k K P 6 W f i X p B e k I V E 4 U M 8 y E V i z S S 8 d b v b 2 3 Z u a 6 t 5 N D l k S r J G M I 6 B 4 G Q 0 Q T A F Q D N 4 F a Q a K h t v u m 4 k 0 s D Q s M 2 H w b O x J a S K i A g i L X L 5 g l z O H 3 8 k 8 9 O G l Y F P I / b Z 8 b Y u l y z v 2 A 5 1 2 5 W E e u A H d s a B y k s E u T 1 c B M h v p 7 9 q Z e n 4 o 0 h t x K 2 S p R k g E + 5 r p C H E o 2 J 6 l X P I 8 i f P n b d r m E e v G f g 8 L m 8 q c T P Q 6 M R J K K s s M e U H s O e 4 l 6 D k R k L S v 4 S H k R A j B x 5 7 X x u G m x M H s r r r j e 0 a G m / P 1 d 6 d q B P F j t h S b j 6 J v G M v 3 / 1 1 J a F 4 K d x r M w x q y x 9 X I Q h 6 p T I k R d Q a u G 0 j + c 8 1 B R I g y X B 3 K n q r 0 C e k B y S I A p / H L i L 6 3 s F F a 6 y t r J g N G i 5 D 7 o 0 p w 2 i s g p K P f e Z T 7 0 t v y 8 y S 1 / f F v H r P M o w k x h f + v G P v y D a B Y 3 9 r F 3 c p o Q D L x z Q D L 5 s J X C K h D + a G V S R B X C v e D n A W n A R M + i S w E X l + w o w I U G 0 G n B l R W M M L q u U 0 P D p m d h 6 q 5 5 q W 2 f b 2 l t l N U T b a k t q E e E O j G i v c / t h V m X y / 3 F 9 W O 6 p J T G b X w 8 h i O / b P O 6 6 T x i O T y 2 7 M 7 1 p C 7 S X w j j P P Q p T 7 F / 0 e 7 x O O A l p d 5 p 8 g 4 i G K Y O R R E Y 4 L V 8 g n g a Q O F W I b 6 X D G 4 x b u q A W Q J G r M 1 6 O H 9 y x A F w m G s w E 7 D 9 V z b H L K 4 h O J A A m D c h o Z b b 0 S x 2 h f W d Z L L N / 8 j A J i + F t / x / v z j 7 2 z 7 t j b e q f I 1 w b R / u 9 C j C V c y h K D 2 F V m O i H x O r k W l G B R W l r P S + U Z 1 4 T S Y F s w y 6 n Z I P p Z r j s u i M 4 + K R x g j 7 U B n C A Q I g x K w U k a y g g X O C S 7 e P G K 5 c W B a Z T D o E y T 2 K W s u 9 t s L r / u h U + O + p H / x 4 F u d c e O b J 9 c 7 6 z l k e x U F 0 s o l j J h A p F W g A x O r e G l u 1 Y 3 C q h T x K X R 5 z Q 4 N G Q F w J B s 1 E M 6 g u O k W B K g K p 0 U m G W 1 H a C K R c 2 + x D 3 t + P 1 X e B G J q t j e 3 m w 6 w x J l O D w y Y k u c u s + R K K M o V S + M t y 7 u y 9 s X T m Z q g D O D k c T f N 3 g E 8 f L d O W O M 7 X t 5 X v L y 6 q l W s k k K 6 y x B x M S n M / n W H j + 9 7 9 6 + X i O C G 8 q Q F J A R l R D 1 k D g 9 m 4 5 Z v 4 c 8 Z o e F Z H g T k 8 w d 0 c 7 w h l a I t Q 1 j w E o j R M o 7 p w J A E v W q + l Z Q m 4 d 5 1 v E i 8 r z M l N s K d N 5 6 4 U M p i 0 r n s 6 0 G Y y L x b Y q B u R k Z K a r U f x a F l A G S 8 K 9 O G D u C M J y w R L Z 3 z j v t 5 + s 2 0 W M / T b I x N / f t p e a q B l 4 m i I D b u V 2 E n 8 y p i c w p B 8 m w Q V x f D N 4 3 1 M X 7 d 2 4 b 0 e i s p f U G n Q 4 2 j E I n S + 7 g o H D v i f A k J B Z q I M + C R E 7 6 D q k o O G m c e 3 8 4 w m 4 i U p 1 y e H j v r k l 1 g M S n E 5 r 1 p M C r 0 8 3 7 C b s K w a K B F z 4 5 7 F C 3 N W L 5 + 3 U y c Q 1 X + / n 6 d 4 R Q T 5 M 8 c V j Y T J s r t h k Y t + M 9 Y H u g A z Y p G K p O 5 b z 6 3 A 0 j G j Y F l Y 7 f Z Q U L J l h h t O z M w w c m 1 f D A I T X I 5 x r 2 r e C 5 z y b 3 6 m Z c b R f M 8 j Q 3 8 9 h c 2 6 i + 7 b 5 L G g V v r o q i 9 a u x j 1 u d U C e G t 9 T I o 9 K Y c r h 8 7 X r N N g 2 j 3 U W y n y 4 a y 8 m 9 I 3 t P S h L e l e 2 5 P P + Y c 8 F r S a n / / P G u N u 6 e 3 W A X B 7 Z B R O W d F V h E L J O q y u s X D o 5 I l C D o j G y 1 + H M Q P J O 1 5 D E 2 V y t Q 4 Z j I k a E f z A s O w f I 9 3 r T R 9 O N A I F p 6 B 1 p + K j l j h a j r Z d R L r b i M q S J a A m k A C S E D M z a 1 C 9 4 j l d 5 5 L R 2 B y W e p m 2 2 9 V 2 I h C R W i A U C l x d 0 N Y Z A 4 E 1 P T F k 9 I V I f X U e 3 F G L Z L z E W 1 f T 8 L z F / + L M C r 3 z 4 x t P W u j X n S r Z f n x k C V t X F 3 Y 6 H q 4 6 B w c N m i 1 R D K P u C n + p c 3 I i r v r M B 0 V 6 x g z g S J c U u E U n k g B 5 U x K X i m 4 0 j k V i O C W b d p f L J 9 9 Y 0 + I n N 3 p 9 I 1 C Z h R o 4 Q l N V H h e J E Q l S 3 n H R 7 e v y f n L 1 6 y B Q z w b E L O C b W v q B S o x b x 0 C 1 z V b b O B k S b t 9 c / F F r a L 3 9 8 t d M 1 i a U l B G d f I Q 4 I 8 R p z A 4 m q 6 h T x B M n n 7 H q H Y P h O C G T K B u 8 v x D g q 8 U O 2 Q C a C K H Q t a 8 M 1 Q L n c 2 P q q s L x F b z p H F D a 9 G + v B S 8 W r S g K y v r V i + 8 1 C O q s 0 H 0 Z i 7 E M K c U 3 J x 7 K 0 w 6 I U 7 g W Z k 4 v v 5 b i R 9 p 4 3 N Z H + y f r R u A Q S y d 8 n r 9 P f t z 7 a q v Q W P 4 5 J / / p n S d A v p f a t A 3 H g Q H D N v d r v o Z D R q E K 2 G v 2 O L d A I M f E K G I A O J 6 H J U L 5 4 R S U N H L J I K m 4 7 K n 9 N z 2 G y t A l 6 b g X J l U k 1 a Z D f 4 k H L l + 6 0 l D p V 5 F P D I / u 5 O Q W 3 e 4 / f r n R W 8 5 / I J Y X 9 + n p + 8 j d t n 6 x 3 X 8 r y M W l 7 6 O C r P W W N l b V P u 3 b s n c 3 P z t u j y j t o w P A T P 0 F d s n x x R C z A n h R H b i j 8 e q E 6 d A H s s 6 T R n e P I g E h 3 c n Q J 7 C W c K i 8 3 R S D C E 3 e a F 0 E R n e U V J x q r 6 S M Z 1 t f U W F x e s 3 I N A x c M j y x C O / W d C Q H k E 8 L a 2 M W K 4 A y M I m f 7 W r m U f 9 Y 9 8 L z d 0 v t K 9 a + x G Y X t 7 Q 6 7 0 z E l 5 e 1 m 2 / M 7 c K 1 c v q 4 E 9 J M P a a r f b O N B v 0 s 6 8 E 0 F Q F l S 4 Z q s P d j J j E H D l n P R 5 e H 8 z j x 7 I p S v X / J z m c N + P 5 C F 8 C c 8 g C y 7 g Z L H J / b V x a j V A k 1 A n 1 1 k M P p 3 J 2 f C N Z w G 1 e q x b / r x / + u c 7 I y x p m b o Z j j j 2 O K J b l d j u u N G G Q i 3 3 F 6 3 m B 7 j A + w 3 v x 2 o / G k B U 3 l l j e r A s N 0 d 3 r D L T m Y m k u n 3 7 r r z x x m s 2 H x w q U l I Q B x h c V b 0 d 0 H J T m M 3 c 7 s x V P t r B 7 L T t O l j M P a + V m 3 k t G E v V 2 1 s 0 h w l q I l H g f A 8 2 V i b j L S J N h a D c 6 B B u R N V I w m u O C m W K w p O F B S m O T M s n j 7 t n 1 f Z W s H q s i T / v n 3 9 s q U 6 e o w 6 J I I n I R x 3 W f V O L Q 4 Q K p t q P h h C V d 9 b A 4 H 0 9 M G 8 f i 6 / 1 F g f k w w 8 + k h d f f E G m p 6 e s 0 i Q B l a c d A g Z h h a c S p N n k m 1 4 l z p j d 0 w 5 c O S e R U F w L + X A 4 h K 9 v 5 o V s 9 u x E a u B e j x v 6 4 U D M 3 q e P 0 7 Y g w b M E K 1 9 N b P m r 7 V v y C B Q l n T w i e S S q 7 z t S M b d 5 + d m y o c C i q h V B W u 9 m p t S I H p G 3 3 n l P l p a W 5 e 7 d e 9 b f k g R U 9 k 6 B h 7 B S b h 7 3 x w s 6 O F D 7 Z H P D 9 p O C l 2 T 9 Q A n A 2 C 8 8 g u H 3 y E t u 1 r + G d I 8 D y 7 C u r a z a d z T D 7 a X s s 0 k m t v a / B / b r h N L k S M Y f 1 w f P R R 7 7 n k B N b X n 5 u o F 8 3 P 9 2 q X 7 b T 0 q D 8 u G j g m z L k L z 6 6 k s m n T 7 / 9 A t T a Z p V C D o y j / M 8 d H 5 S k Z s B O 4 T 7 w T t H p L d 1 B C e I 6 E A y t P p u g N p L e F S w L 8 q B F j X T R H o W i 6 y p G x 8 e N D o + b j P N c t 9 R Y K G 2 V m P W u h d e + S s F v A p l 7 y N I E r K 8 f J c X 3 P c S U u t o v k m o q I r V D e S J A 8 v / O x y W P Q / T w 9 W s 7 F S K F k t 2 + c p l + f O f P 1 S J t W Q V O I p Y F O F x Q O c r h Z o E V H h c 4 U y + U l C p w e f u f M / y m 0 y / t W A 2 E 1 t e C I P 9 O L a X 1 Q J I y S g y A f T / V I s I 1 W Z S C j A 2 C m d F 1 G I G X y 9 4 M x s 9 U 2 g o U 2 8 / S A b L Y x v I s 9 R A t m D y S F X f r 0 j q F 5 8 d V N 0 L d B W P / e A 2 i K i 8 s 8 a V k U N 5 f s J T i c L e J S I p L g / t m X v 3 k 4 8 / N a M S 2 2 p k Z N g 8 U s 5 u w L P F L D 6 d A j I k N d z b A V J D W z m L q 2 v l M C F A N 2 o A I e C d 0 i j G E Q 6 g i m I r t Q L S 3 K m P L D d E J E Q L b b c r 0 V C v N d U d D k F y e H l 0 F d T 2 a 9 d h K 9 X t p p p T g q 3 v 5 b P S d t K o m 6 V S E I / W s r U X u h 1 S O 5 h O G N L g 8 f v b n 7 4 n P / j B W 7 K 2 t i 4 f f f S x 3 L p 1 W x Z V a m 1 s b F r n 5 a G K t + X l Z V l Z Y a n K T a v M z d T E I J g y 7 D T A W C 4 c D J C J k c b N 0 M y h g j r Y j E y A t 5 2 k g Y R M t n a x F s 3 v 7 z y b Z N I n 9 T c e m S C H 7 V s + e d 4 5 j 1 Q c Q C D d t 3 N + v p H K P + / y A m T T H U n 9 1 8 8 P T U I Z 4 2 o X 8 Y V 8 x t u G E Z d / V m A x s Z 9 e L 2 k D I P K X R 3 n T 5 x 2 Y e e f y S L 1 n k X v F o 7 W 3 V 7 L 5 9 + Z m 5 2 V l d V V y 2 b Q 8 f / M F + f K L L 6 0 1 3 9 3 d M w / h 2 P i Y z Q c + o K o O U o g K j i 1 E h 2 e w g u L B a 9 Y H d R J g m A R u e f q z c H 3 v l X b N J b 5 f 2 r M 4 O y Q M N l Q U k k h Q y o U R z k m m Z a Z + f P Q g J Z s H x 5 8 u 4 G n A 6 q w m + 6 v 1 N w W 3 5 D d K o 6 D b H O n j t p 5 0 c v t I J 7 a e l y / 1 T 1 + U a 4 Q K k s o h u O 8 Q l X f W Y O H j 5 8 a 1 Q h y o C n K v X r E h 2 / v P x Q 8 I L K k U o h I 9 e v h A J d e m h e y 8 r V I M 6 c z + 1 u a 2 z M 7 N y m u v v S q D / h g j n h c C s Y / t x F I 3 S I D j z B S b B M z Q e j 6 0 S m I Q R I n H z Y n O i F t G J 7 f S O p I 2 D H t a z n 8 I l P O z B K u v m u w P M v H H c a 2 + s 4 U k / j 5 c q B H K I 5 J H I I 9 E 9 X 1 P z X N q o L n N a X X D h d 7 q J X Q D 7 q 1 k b f 6 C Q q 4 q Y 8 W 6 D l K u p p q q J D g F I M r g Q L 8 R 6 Z 0 f / d D s E K I t J i c n 5 e K l C 3 L 9 2 j X 5 4 M 8 f m R 1 G g V M e S C k q H v M 3 E F 1 x 2 m Q C b r B e J 6 D / q d V 7 x D W / t 5 M s P O p x z M L X 3 Q 8 a f 5 9 A P q l 0 x 0 v + f u 2 c S 7 X r P b X w y H l H Q P 9 Y / 9 P k q X z Y v w Y K 3 6 V n B d 8 s e L b U m + c 9 9 y / L f n K 8 G X C r x 4 G 5 + J g S C 9 U u H 1 C N U P E m p y b l 1 d d f k Q 8 + 8 E h F a / Q 0 8 F i l a B y 4 J 1 T Y O C w 9 m f d e d h O g x v Y k D B C + r w 3 Y s w i v v m v F 9 0 l C h i O C l z z S k O y v 4 V w o N Z w P k q q + N U I 1 I 1 J U f r e Q D o 8 T K z x w O z d U / X P L 9 L P 6 e S s g Z b A z o o C x P z k x I W + / / a a R a l V t r q e B y 1 e v + 3 t H A a E m p + L X H J 4 + f 7 H l e 6 I C u E W 9 m + F p N S j H g 1 f x 9 T 9 2 / a 0 j Q y A F S K L / 1 a 5 x 2 2 B C A t X J 4 + d p 2 d g + Z a R b m 1 H X F X z w B X Q L a V q B F R 4 g 0 k R / W b J p 1 D P V 9 x P E l O V z e Q u O j Y P z F L 7 x + m s W 3 Y 4 B f 9 Z A J V u P I X M r L y P S K x z t 7 i o B z 8 L o Y T p t c V w 4 w l g F U d Q I 5 F 9 7 7 H F j Z w p X 2 Q P 7 9 s e R l + e S K 4 + 4 p P 8 F t t h M 7 l w j q d w x 3 2 m O K 8 g T R a p m 6 B b C c R s r 2 y k p 5 q u 2 a g f P t a u C Z 2 W n u d q 3 u 7 d r 6 l 0 z E J p U 6 C n I z O N Z c 6 m f N S y k K K J z l k r O 7 K 5 I F 1 4 k Q b 5 s g 9 K m X 8 + 7 v i M G X 9 K v B c H c M H x v X N W I 2 Y K c g 0 S s F s K W G E A c N 0 T 0 b 7 L 2 r 9 q X F 4 e 6 f U y G q 9 z + o T v 2 t 3 b C z v v J l y i W V / s s y Z E l u P U J o 1 t P S v n 5 + h 3 B c w i n d F 9 6 z v S + T k j 1 N F H I V k 3 N y 2 l 9 q + y t q b 1 x X 8 7 3 L N s S l P R N f T X f v C e f y U e S z C U B 6 f L 5 X I N 6 S A F y j H f 0 N M H v 6 F v x j + p A e j K i F g 8 f 7 4 o + K 0 c S B 1 p T N 6 s u X i h b K U M / U 5 a 8 r Z D h Q I t q 4 6 B 0 O z 4 5 Z V t c 8 b j p i Z J g E C P o 7 / G l V r f B K j f J P / b h 5 X m E I b n j W g q Q S P / z 9 + v k C B 4 f 3 d f k e w R r b n b 9 u 3 n z g m T + l / / t / / j 7 U m X Q L u I l u J s B 3 U y w s t p P Q 7 0 V i 4 w o 9 h Z k b H R Y e g o 5 e b B C i 5 4 2 + 4 r H C X o A g y B O L U m U A F h b X f O k V S F v l Z m W + 8 6 d u 9 Y Z j L s U d z s S j H M m 8 k 8 I R J G n V U L x v c 3 A c y 7 v Z G R / e 9 n i B g + U 5 5 v 7 W d m u D F g U y c r B s D k V 7 i 1 n 5 e F a 1 k b W 7 r G W k z Z K b i 0 u + v N u L W a l L 1 e V Y s F 7 / 0 G g A e B V p V y 7 B l R s f 7 c O K r p t L L F f J 0 K I F C 7 5 0 i r 6 H N v A 5 y C P k 0 x 8 z v a 1 w P X 4 t d e u a M 3 T 8 o E v t I R B A i U h 0 d M m G h V E n 0 b 6 9 G W D Q j Y l l 0 b 0 o e 3 I G 5 K 9 E u j 0 d a A g k s 5 n j o 3 x / M 0 b N j 3 x N 1 9 / a 1 4 / O o E X F p 5 o q 1 8 0 U k G u 3 / z m t 7 Z P o Z 8 U m O G V M U 2 t M L e R M b f 2 4 M i k z b b 7 h 3 s 9 8 r E S 5 L v F n H U v P F E 7 c 7 P E S F q v S w E C z q x l b I 6 O 7 f 2 U X U v n O G T 5 Y j 6 v 5 D v q 1 E H z f P V c l 8 2 1 1 1 D 9 K H d N V v z U g f q f H T t C 8 H 7 8 Z H + 1 b Z h U j k Q Q J 5 g X l b C d 8 J q m J f M / / + / / 5 9 9 n 0 y U p l f v 0 B D f D 9 / o 7 z w B m N 1 T 9 y V W k X 0 k F v 4 f 6 K g 0 u X i o b w b M T / X V J x e h W 1 o 5 t Z U M B G g 0 i x g c H B + R Q V a f P P v 3 C Q p k u X b 4 o 5 8 5 N y / j 4 u K Y x U 5 u + / f Y 7 G R t T d a n D U c B h M O x c C s N W 2 X k j O a 3 n U W 3 Y Y E 9 V p g f K k s 2 k Z O c g Z S p v k s F + O w d p C + M K O 3 E g 3 X i x e m R u P d R r P K h d J a W C g C d G D i 9 Z h f Y r v L f v p f r 5 O i G O p t A 5 k 0 R o c c S 9 6 r 6 R z N v n e 1 5 5 + Z J q P L 0 Q 6 v / 6 + 3 S q o o X a X 7 s Z u z d / G 5 R a 3 Y r F r Y w 8 0 I p B 9 A S G 4 Z a 2 x s E Y v w t D F a 1 0 d U I R H T D M w L s 2 n g l J x Z C H g 4 N d u X r t q n 3 e W 9 r F s 2 l I 6 + t r W q m z d l 2 n q h / q 2 u d z e b M B l 0 p D M r O R U w m T k Z l 1 V d m 0 o Y A A O y p V U M G y E M z / H G 8 L I k C k V t N X t 0 L p 0 C P a p e H D h i m V K d v J g Y p F 9 n c d 4 I d f f 6 3 u + t t a C p y r E a U m e e r 5 R j K f P M F 8 t j h s 7 J y d r y c + 8 / o b 1 4 w j t g 4 d y b 3 / I I G S k K h b i M Z d b O x 5 D 0 E s n z 2 Y j + / U N r g T m I K M 9 Z f a 9 d p R o H j L X n r p F Z m Y m N D W q F + f 3 T + p 6 O v r l e v X r 8 t t V f + 2 t z t b K 4 o u g H + 9 X 5 B l f 5 G E a u q o 6 g X h 5 t W W + f h x X r 5 W 0 n 3 w o G A L K / z h b k F + d 6 d H V T + 1 4 0 7 g l e j j m g Q L g 6 4 J O t C 7 A + 5 B t d L 7 h L E b 1 1 Q n Q y B F k E r / q + 2 T b K Q u q Y E 0 7 p q o x G S m E M l z H 9 V K r J j b s C + n k s R x p F v I E w V a Z w x r b A g i z t + 8 U C e M P p Y 8 0 l b 1 0 O / 4 p V O 3 3 Q n 5 6 d c h q i J q d C w g j + E h Y 8 z + q v Z V X K d x F C D J l 3 M 5 + W w 2 X + u c b g Z s I C Q R 6 i y 2 E R K L Y / I h J d v j A n V v o F C X 6 g 7 k v z y 1 b 8 R 6 2 q g T w k v B / X q F D x 4 H z 9 e T / u f t H y G R f 6 4 m m c j z z / l 5 F P a 1 a / X l T 8 0 p Q c p l d r y W j S / R D C q I q z i t i N T q / F m B i v S F q k u g m G + s D J z 7 5 k n W t h Z d v r M j 8 7 M z / t n W Q J W r d X j G A F s L 2 2 p + f t 4 G N i Y B N s n v 7 / a Y 1 O k m Z D O 4 7 K M x 0 l e V / g h P Y B A n I S X j 4 C q 7 p Y B k a s g P J P 2 v T o w I k t X G P r n r A l t T 8 2 q f 8 b e a Z + 5 y k l T k 2 v V z x i G S t j f + n q a e X M l u M M i P M F m 6 h T x x Q F I R G Z 1 j / u Y A I B J u 3 + / u z t k I V K Y s j p x T g s K M g M 0 c 1 C S y w s H 6 h / q L K q U W z L 0 e B w z 7 j x 7 m 5 c s W / W V P C / s q 8 e 4 3 s Z W w 4 Y I I S y z 6 A 0 8 a X q X m e 0 N b P z + c 9 L + Y c 4 4 g b j 9 4 H M j 3 y e S p g f 4 1 P p m U a f r d F R k o M i G Q x x 9 S z Y Y i 9 R c 2 b c s H I U 4 z Y o X R L U S z + 2 e b U l 0 / y 1 4 d q C v X L p + 3 K G 7 c 0 Q O D Q y p J 6 v Y O z z 0 7 + 1 g W 5 m Y a 8 h 3 K F d X N m o D P r 6 4 s y v D Q g N x V W 2 p 5 m Q k j j 6 p + z I m B n b T u 2 3 z d C E i O + 3 x b V c o o 9 I f U w b D n L 4 m X M R n q l d z e r N s P b Y O J P F I 9 z y M D e c E U v N 6 7 J k A i f x v 8 v J 1 z y c 9 7 9 8 c v 1 / h D O v J G W e V C r / S S X u I R 6 6 Q K 5 2 y A l O K O X 5 h s r M z k E 5 L k o t G Z h B K p 4 + Z M Y O U J h n J M n b u g h V a V B 3 f v m P O C c U n M + R A 3 Y Y k D I 2 x Z 1 e L q t e s y N T k m 3 3 9 / 2 z y K Y c x t p k 0 y d T v o P P 9 c b b s o C R o R E X U q s G o Y I B X J e B U g l y X / G i / P J 0 B D C u f 5 p D B y 6 L E + Z O 1 c M K + B R L 7 L 3 P + u t H I l i 6 s 1 g J o N 5 d J g k S B Q v r i x B Q o i j m D d Q D z K / 6 v 5 v F W C 8 f 6 K 9 A S k F H t M L n J n K W v 7 g H i 2 g a E h C 9 P B 8 W D u d A X E Y v 2 j 0 t 6 u L Y D G Y D 2 i v 5 e W n t j 5 K H D N y v K i u c w n J 6 d l a 3 N L S q V 9 K 3 y H X V V H 6 S c L Z H U 1 6 H 7 4 0 7 3 C k b 4 q H C m n D l d I t t H / 7 B 9 1 k x 1 v a 4 k / X r j t e 5 W 9 n g L H 9 l n v u B 7 o 6 v L c d c F t P Z + B h n W p 5 a X 3 f v J q A 3 d I 2 s 4 0 5 u Q z W 8 Y 8 u 3 X 9 k J N Q L j 0 L w P P F c q L g I K I T E k / g n x / k p e R 7 1 F i v i W f 1 p u 6 q X 8 / z o h a 6 G V z p i 4 q L 8 n Y L k 1 2 4 d N W O J 6 a m Z G J 8 U F Z W V m 1 2 I V 4 K m F n P d G 9 c X A w g 0 w N V / / x H M G B j R Y H O 5 5 O B 1 r + G r b 9 n / 6 i b f u L P k c k q u p 8 X P H b b G o k c K d y x n 5 Q w Q V X P c z y Q z 2 h c 7 x o 7 r y m l x B 0 c Z I I c y q G e I g X 3 U H H P b p D E l w f h S B V H r m 4 h H a o d R v V 7 V 6 K n y j I 7 Z s t 7 f N Q y g k B H / U D Q O H i F 6 1 5 v I 5 B o L l g V Q L 7 p 6 f P y 3 b f f y T f f f G d T m m 1 t b 8 v F g R 0 p H 0 Z / R z e D j t 5 v n 9 T V P z q b o 5 D P n E x j Q f X z d v z / a k X G v l e 5 a + / D 9 r W i 8 + f n R R L G 8 i B E 6 D i 8 z 3 k j D g R S y e T O + V E S u i O D A 9 G h a w 1 O C Z d 6 c 0 w C 6 X 7 E u 2 H Q L W R J i t u L W Q v F + c m 1 U q T X a W 4 z o 6 p L y k b v r q 6 2 X v C a 8 U l x E 5 o Q z c 2 S n F Z e P q 7 f e F 7 e + d E P J F U 9 l E / / + p n 8 6 x / / L F 9 8 / o U M l r 6 X 7 c 2 1 h m u f B c x u Z C x K Y l U b K 1 T X M C j j k 6 g j t X L R r e 3 p f 7 b H c S h 5 e V p P + W P / C J n 8 / Y D k Y a v / + d d 6 p K m f 9 7 x 4 t u / y H c H s c 1 5 6 7 y e v H + F N S k T + P 6 S m Y W b z 5 f c Z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 G u i d = " 0 3 6 2 2 6 4 8 - 1 e d 7 - 4 4 6 c - 9 d c 9 - c 5 5 d 4 e 8 6 3 d 4 7 "   R e v = " 1 "   R e v G u i d = " e 6 c 7 c 1 e e - c b c 9 - 4 c d 5 - 8 2 e f - 6 b 0 3 9 d a f e 6 0 4 " 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5 8 0 1 9 0 B B - 7 1 9 1 - 4 8 F B - B 4 F C - B 1 3 2 4 4 A 3 7 7 0 0 } "   T o u r I d = " 2 c 0 1 c 6 d 1 - e e d d - 4 1 4 5 - 9 9 f 0 - b c c 6 b 2 3 0 c 9 5 4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K o A A A S q A f V M / I A A A E T I S U R B V H h e 3 b 1 n l y P J l a Z 5 o S M C o X V q U V l Z W p L F L h a b N R y O 2 t 6 / s J 9 3 z 9 k v u 2 d 3 v + / p f 7 Q 9 f Y b T O 9 M k m 7 p Z V a x i a Z G V O j N U h t a B i A C w 9 7 n u B j g 8 3 A E H Q i R y 3 0 h L d z d 3 A O 7 m 9 t o V d s 0 s 9 Y s / f l y V E 8 T w u Z u y U + q X g 4 O y l M t l q V a r R 5 J D c D + M Z u d A M V + R l 0 c W p V g s y s b a m o y M j U k q l f L P x m N n e 0 v 6 i v 3 + U X v 4 a i 4 n r 5 w 7 8 I + a o 3 S Y k k K 2 + T N U 9 P T u g d 4 z W 7 1 + Z z 8 l l 4 b L + h w 8 v 9 h 2 Z j 0 j a d 2 e G y z b Z 8 j f 0 2 v / e K 9 g x w 7 v X t m X P i 0 T r g U f P c z L + l 5 a 3 r y g + b m q b O t 3 f z a b t 3 N c U t A 8 7 m 9 9 N 2 1 5 Y f A 9 Y 3 1 l K R a q 0 q P X X h z S d 6 n 5 3 O M H D w p 2 7 0 8 T z d 5 1 8 J z b T 6 f T t k / K Z D K S z W a k X 6 v B 6 q N P 7 P x J I f W L P 5 0 c o f q G p q W c O a 9 k q h i Z K p W K E S O Y H J o R p t k 5 h 4 z W g 3 P l z + W 5 6 9 f k 7 r 1 7 U s g X Z G J i T H K 5 v O T z X s W J w s H B g V 6 T 8 4 / a w 3 d P c n J 9 / F B y 6 c B z a H q 0 m p W H q x l 5 c f J Q R o t l u b O U l R s T h 1 Z x o 7 C 1 v S v 3 N w e l X E n J G + f 3 / d x G 7 G r F 1 f c u + U x j W X w 9 n 5 P Z D T 0 R g 3 9 3 c 0 + + a X E N y G r 5 H V b 8 g y a A W J C n V 0 k 1 V q x I R o + H e s r y 1 X x e y q 1 f 0 6 m i H V I F E + S C V L l c W r K y L N s r D / w r j w 9 r 0 E 4 q V X P n 5 f C w e u p k A o V M x X 5 r b m 5 e r l 6 5 I q O j o y q t + o 1 M h 4 c H s r W 5 G f l d 1 W p F S q U 9 2 d 7 a 8 n O S g x b 9 t 7 c L 1 k q D / X J K f n O 7 R x Y 2 0 y Z Z o B c F + n w T M o F H K y K L W 2 l 5 X c l E Z V 3 a b p Q S S K 2 l n b S k 9 f v c b z m 8 P N 1 c Q v 7 q V k + N T E i m F y c P I i U l Z M o p W S E J W 8 C 9 / 8 2 V k o z 0 1 p n m J B H 3 9 H g t I w + 0 4 f h 8 z i M T j d q L U 8 k k 9 m k g X K + C C O a 7 6 1 y i b l J H r e F P j U k 6 k z t S l z t O / / W E J F R x 6 m 3 Z 2 9 M X d X h o N x w k F A h v o 5 B O V a 1 F N j W o B c 6 r C s K L R x V a X l m R 4 a E h a 3 X C K O 3 t y s H + g f Q P D v o 5 H n Z 2 t q W v r + g f t Y Z T s d y 9 U f l y + n M / v r p n r T 3 5 q G c 3 V I K 1 w l e z a X l h u m K f o 8 L y X T v 6 + W 8 X c v L 2 R U 9 i b S m R + v O N Z f X J 4 5 y s 7 D S X P E H 8 e 5 V W q J 6 / v 1 t X D y H + I y U G v / n z 5 / W F x Q C S f 6 s S e S / B u 3 j a C E q j M N y 5 4 N Z J K R K q X y G v 6 v b i y a h + j U 1 j h x i + 8 J a 2 + h I p m U A z E j l w T V k b x i R k A l x F S 0 y F X F 9 b t 8 K J Q q G n t 0 a m i t 4 f N h S / l U 6 3 r p j Y K n 9 R W + R f v u + x + y L R K l 8 e O Z Q f X y v J T 6 9 7 Z A L / e r 8 g + a z I / G b r 7 3 1 u o m y f 2 y q l 7 J k B 0 u Q t t X c c 9 v W 3 k W J g W 6 9 7 s J J p i 0 z g l y q t g m Q C F 7 Q h Q n 2 j 3 O 6 v 6 A 3 H Y F w l 1 9 / q M x Z D p O 5 G N K t f 4 T r I l u Q a / b K + A G 1 v p X / 6 b T t / X K i E + u R Y J d Y / f k X 2 K 6 O y v + + R y R G K L X A P A o L 7 Q c T l N w O t 7 4 Y a 3 d 8 v Z i W z / K G 8 + e a b / p n k 2 F h f l 1 w + J z 1 K u n A r h 6 3 i 1 K t V V b 9 m 1 r N a G Q 9 l u K 9 i F b x a T c l A j / + M m p I 1 A 8 k B e a n 4 4 E 8 q H Z F g p 4 E f X N p v U P G a A T v x 1 m L O p J t T B R 0 m U 4 9 k U S 5 p u f g Z T w H h d + g Q z H f 7 Q S l F y q m 6 0 Z M v y e b C 1 3 a + U 6 Q b F c D 2 U j q b E z X D z Z Y J k s k R 5 L T I R E X D f s E O o J K P D I / 4 Z 9 r D o K q J v b 1 9 V r h 7 q q / i L d z Z 3 j Z J 9 t K U J y 2 Q U v z e q + e 0 4 i m Z e H S k V P C u y U u K / f 1 9 f W b / I I Q P H 9 a l i S M T a u R p k Q k E H S y t c G m k H E k m M D o x L T + 5 u n v E i X K W S F L H w v u u 3 p b V K N w / L E g 6 p + + A 4 u 4 w + Q p L Z y h O v K q G n a f q c X P B F E T 4 2 C E u v x W m 1 W 6 6 t 5 y R u 0 t Z G c h s y t j 4 u H + m c 1 Q r Z R k c H p a + Y l G N 1 I y R z A r 7 Y F d S l V 2 1 x f b s G F D Z B 3 3 p 1 A r Y M H e W s 2 b E L 6 t d Q g N J K 3 9 Q 4 Q 1 Q B i I H 2 j i A H 1 1 W v T m E + R b e u u P i 4 0 d 5 u 8 c k 4 K r n Y m z E 7 5 d y + o x p e W V i u 9 Y Y P A 0 k q W v s h x N 1 W M 1 / K Q y 9 7 F / V G W h w w i R L l A b G r 5 k T w t l N J H d z I L w 9 S U z 2 V 5 R U F e s j e f x 4 R o r F X v 9 M Z 8 B x 0 R v h o E A V 6 O v t k U J B U 0 + P H f M 8 5 i V U W w x 7 b G V 5 S X Z 3 t m O f E w / b Q K E i c 0 o M J A 1 e u x c m D 0 w y Q K Q v 5 n I 1 L 1 s Y j 9 a y s h r T T 3 R S g N h r q j o n x R W 1 H 3 n / R 1 G 1 f q 9 c d U t u F h 9 6 / W n + m b N G 3 L s I 5 3 N M c v X X P H 9 K q v 7 R F x r q e j t J S z I q u 3 l K Z / J y U B 1 W R h 8 l E n D 7 w b w w m p 1 r B l o A 3 N R 4 B I d U 9 y + V S t r q H 6 / S Z b L x x n k Y S C 4 I h o u e D u L + 4 X E j o 9 P N e S n 7 e k + o d v R 5 o U o O 5 X Z k u r g n x e y B 9 P f U J c 6 3 T 7 I m b e P w n Z 4 / C 9 B h j Q q d F P / m x p 7 X E g d w d b Q s 0 w M q 5 Y e G Z W J y y h o N 7 L N u Q 1 T d Z J / k k a o i + 9 U + y R V w Z H n 1 v Z 3 U k Q 3 V N / G K q X q O 2 c G b D N 5 o H J J c E w d a 8 4 l i 2 T p F p / s P 9 D 4 O r R J 3 i n L 5 U L J q C 3 a C b + 6 v y O / u 9 M i v v + + x y o / X D t d 9 v l C w / j A 6 k H t U s k F A f m O 4 T 8 m L A a b A D s H D x 7 O 4 l 0 m X A y S k H + 0 4 z 9 Q u u K V 2 b C k 8 l L j c c Q x d H v Z U w P E + z 7 4 K Y l g b v B 9 f L a l d 5 W e c I Z L W Q 3 e d e w e U O / Z U q u + 5 y L r f K r X d t F + 4 + U b N R e 5 u K H h j D u F j h 7 j 8 5 E i p Z K p a P 8 n W Q V Y u X 7 4 o 6 + v r / r n 2 k c k k l w L L O 2 l T 2 b C F / u U 2 R O m V 9 5 8 r W e V 6 Y f J Q + l U F B f p e 5 P d 3 e 2 R 2 v b E m 0 f f l Q O V 7 8 8 K B S T Y S 6 m R W J S U k h H x R f W q n h Z s T 3 I d / 0 C Z u 6 n O / c W F f B n q O v l c a B t z u z 4 2 r i v s U n B V J 6 y D H w X R 4 S I M t a l O f 9 6 9 I j r Z t q O X l l P 6 g 9 8 M w O g j y g t v T w A 1 9 O d g e i 1 t a 4 f T n 8 d J R G e P Q r G M S a d A O + K 5 e r S B E F / z s u V 2 5 f q 4 3 0 q u 1 u J 2 x P i o 6 n x 0 8 z 9 j p l c t x c N z K P q H l E Q X X W N H 3 9 e J U 8 + i R 0 0 J c X Y y q q + y 7 h O q 3 U 5 n U e + Y v m g t R S W t i V H Z 0 K k 4 e V f W C q R W S X N M K f M O K S g o q 6 6 C q F P 3 9 R R k e H v Z O h s C 1 U S 5 e h 3 Z j + q g Y l A T Y 3 I i X i l N q S z j Q Q U v E A Q Z 7 u 7 Y e 3 4 P H 7 L R b 9 0 9 n 8 v J r l b h r M Q 6 Q T n 8 d y Y s m Q 5 + a 1 S B X e F 2 G Y P 1 l 6 + p 3 W S t P d u g N z a 1 z o F V q 6 w 3 v H + S M u W F 1 L 4 j w s U N c f r s g 8 P P 2 U l b 1 + N b f R 2 W m Q z Y K u z s 7 / l 5 n S K q S / e V x X o Z 7 K t Z 5 e i B 9 s d H d U X j t 3 I H 8 5 F p J / o 2 q l a c N l I 2 / P M o r q a g Y d d C p T U h U p 0 D t o 1 G Y 7 C / L O 5 f 3 z a 7 q O + P o i 6 R 1 k m O X H K k O 0 f 3 a Q G K n R H H q D V P 1 g m R y c P v B v C D i 8 t s B L w L w T b R 4 O C V a A Z f 1 h L 7 I K P T 2 9 f l 7 7 Y O O 3 2 L / g H / k g U c k a s P 1 K T l c U q n G P X w 5 k 5 I 7 K z 3 S n 7 D / K o w 4 t e q k 8 Z d H h V q / F M M 9 C H 9 6 6 R g B s D h k N t b X b J / u g x 9 e 2 j d H x a X h Q 3 s / P R G B u 6 e B V n U z f J 5 j 0 8 J U S q U H X o 3 k R F R K 1 F w W + s d 9 R 8 R R N Y 9 0 F q C 1 / t m N e j D n + c H W Q a h g P + K y d m 2 n M D Y i 1 D 0 i G q Y G 6 p H b D h e 1 4 n y 3 m J P l z Z K 8 M n 1 g w x + C Q M 2 i j 6 o V i N Q 4 K 9 A 3 B l 6 d 3 j e n w 3 H R P z B o j Z A D R X B 9 r C x / o x L r X S X X 8 + O H e n x 4 K h 3 C Y c 9 j M 0 T V b V P 9 y k q q n g v + V c 2 R y C n B l 7 n w I n 4 k C u 3 m t w s 8 a w y V A I Q A Z b U O L q n x 3 w q T W s n D 6 H Q 8 l E M 2 4 v M X h 9 W m i 5 A + 2 A 1 a b D L S U 7 a B e k H Q + t 9 S q T Y e I 0 W D 8 L 3 t Z w J i J M F J / S Z O I z r C g 6 D h y a t 0 w g V / Z d Q j F K p x O w R o B v c 1 Q R s 6 a R 1 1 x 2 z Z 4 z s q q a E j v I h K + j h R 2 f W U L 0 7 I v j a O j k z h 1 A y t z i c F L 5 Y R r Q 6 M 1 v 3 t n U L k O J 9 W Q K e P Q p L B d o C W t j + k 7 j X D 7 D q j m k R u T H n H A J W K s U W 3 l 3 M W y h N W E + O A L U X f D + n f P b + n a r C 2 n N K a j K 2 A P R q 8 A y r Q 5 7 M 5 v S / v + H d 3 C x a g 2 w 7 m Z x + b e Q B M R V Y p 1 a w + f K K 2 5 s W R s n V B n F P t w 4 1 Q 7 h R x v 5 S 0 z r J 1 i W / D Q Z E q I K X q 3 I h K L W 2 o V M 9 5 E 3 m d S K e T A i / 8 3 n L d u f B k K 2 M 2 B S + c W L f v V a V y r W o z c J / N O n G / m s + Z f d Y M r i + J C p c E O 4 d p V Z 0 O J J / z 7 v / J Z l o 2 S 9 p Q a W M w X i z L K E Z 6 Q l U n q E 4 i + X 5 4 q S Q / v b Y j P 1 L V 6 T j S h B C u s L o F 0 R n v B d 6 / X p L 3 r j U 6 R s J 3 H I w H p K 4 M j 4 6 b Z F p b W b H Y y E O 1 e T d K G W t I w t j c S 1 l Y 1 p A v 4 V + Z P j T 1 + O Z E e + q m u 9 9 O E K 7 D 7 p g t u x w d i j a k P i / i U t P X 0 D P I c P a n K 5 0 A 9 x o E H j P U v l F N d P C O a c V E 7 y c k q R k I C Y o D q g c v s Z U e z 1 A P g L 2 U B D d U l a H y u z 6 Z X S U Y Y T 4 E 9 m I 7 H M e V j C 2 H + o q q i X 3 p K m S 7 w P M Y j G h H N W 0 2 D g p S b I S 8 g X e 1 w W P g I o 0 c R D r Y J y Q s p c Q a t U b q 8 9 m 8 z X P x a D 1 7 J B g X s t E o h I H j o h 0 V 0 E n U V k h a d 1 0 9 t 2 P 9 V 2 E / 1 9 y W a l o D q 9 n x B u l U + / I A w s e n A Y Z Q B L G s t h P e I V 7 M q + e 8 3 n h c s q 0 q O S F B x 4 W z n + K 8 h 1 G g j K h c 3 y z k V K K m p a Q V 7 N 2 r x 3 M y 4 D k b H B z y j 7 x G h z J g U h Y 3 T q t T v N 7 E A c I 4 M R o d o l U c 2 F v R h o 2 5 N Z h 3 A + C I c K D z e 3 s / b Z L u b b 2 / s K p O 4 x j V Q U 5 j g 0 f w r B B V t 1 0 y M u n p Q 2 n u H U 7 9 9 w 8 / P / o k i o H J 5 2 R r t 0 8 l l D d 7 U R y p g v s O U X k n C V q t / k L F W n g G / C V p x H Z 3 d y y q 4 j i o a h m k m k R l g D 8 / K J i b O S g t K D / X b 0 U j g L q X 5 J 7 j w L N E D Y o M Y 2 E T d d i T j D R K X M 7 d M 5 Q k D k j U q 5 r a A a / 7 G y U S Y V m Q D U n P P R L P 6 C Q z P 9 n u M 1 O P e E Z G H p 8 G 4 s r P 5 b M N J h 4 0 J Z B f N Y v 9 6 I l d Y g m V H 3 1 N 9 v a I a 2 q c I w K E t 2 G c N q G I 0 L 4 + e i h Z P E U J 9 e Z 2 5 5 C I A p 4 q o s y b g f C k s D d v e 2 v z S L 9 V E N h U z B / h v 8 e m 4 H 2 g U j U L t 2 o F 1 D N S E N i p f 6 s S x A 3 p b x e o s S X l I Z 2 2 f I V X / 6 q y u b n R I E k N m k + L H / c M j D 3 b 3 d u R 4 s C o Z F I V + d 3 d P m u g i K U 8 S T j i h O H y g 1 u 7 V 7 1 n J v l h p E O h f N f O h R H p l B i 5 + M I R 2 8 m h F V l O m 0 w G / Q l e X D t R z J C J 8 U v H Q S s y g T C Z A E N M 4 s C c D w y n Z 3 6 M c J 8 Z 5 D w I a G / u X R y H T O D i 0 F E J 1 K e a W p h M V G C 8 b / d W s u Y F p c 8 M j y R z / I X t F V S 2 g U L V + t l c P a U i 7 i s 5 1 t Z W G + s F + W p j B U F D c f v W N 3 Y d Y 8 + K A 2 P 6 e x n 5 9 e 0 + V e U P r T / v p B F X V 1 1 + 8 D z 7 7 o j G Q H q e r / E l m C L f z O 5 e X s l U f 4 E u B R E + P i u M 9 1 e E C U Q 6 + X U m b O k U W 9 r S d o p U j G W N s X 5 l R N V p f R j i B J n k x Y E K / E B t k p z / h l A 3 9 / f 3 j t 2 H B o K / 4 7 C h U h J 1 1 Y F 7 m l n L 2 P w Z E P u 3 t 3 v M B o R k 2 K x J P W r D o 2 O S S W e 0 T u 3 6 O V 7 d Y R o 3 S L X 4 Z M G 2 R N r f u P m S k R D g 0 f z c 7 2 B e 3 s m Y A + p p I V j / + Z / d U l T E g O I I o Q p 9 A 9 b v F L S b H F q R q N X 5 4 + L y y I E Z v x Q t x Z 6 0 / 8 b B W k w e r g O E W 9 R 2 w D A P B 2 w o Y g w B 9 g Y z K L m w q i C 4 g k F 6 g H 4 c V N b g 9 5 w G G M + 1 7 0 s e h p 6 U V X I y L R p e R I Z o v H u l Z I M I 2 w F E G R g c l I P S v q y u L J n 6 6 1 S o P J O T T k 7 Z N g w a G 1 e d U E f b G Q D Z D j q q 0 5 p V R u J k G q e m A 9 p 2 h v 5 6 L i i Z v C 9 y X x b + 0 q g f i f z h E 8 Z + m d a x Y j O z E j m R 0 Y J u 5 2 d 5 i c 2 i x J t h Z L T z e S v y e a + l R e o w S l f r q e 3 T l x W e y N L h k 5 m 8 2 V Y 0 b A e M K 2 q j M z k J 4 r o H P v I n i i H y g 2 n N z q n k R H q i F f j C I z G C Q 2 e G h o e t D B n l b B P h V J o T M 9 i v t l V K 2 / 3 i H e R e A N / c b L R z O 0 h S n z m 2 P O + f 1 b u 9 y n C d N / 7 f E R v q s J w z y U Q C 7 o u j f v S s s b m X N t c w / U 5 0 5 h J 6 1 O 5 L H l A D u d 1 n 4 X q n i n Q C J x U Z d F i p M P m L N 3 E m H d S o W e G A Z q Q Y l X l j p y K l A 6 1 I h Z P 3 c i E Z Q T g 4 l T 6 h M O j j a z P o 2 s a r 4 V l E d Q y C c m Q i n L H x S T + n j k e r n h 7 J Z 4 K D M 5 3 G P O g P Y k T l h P D M L X I W i K o v 5 N C l F O Z P g 8 q X 7 5 8 2 6 R Q m U x B J 8 0 4 D t O Z 7 B 2 l 5 e c r z 8 N G 5 G H 5 h r Y A r d y + g z y c B 0 z o f B x W t j Y y J y q S 4 2 a p J W F d J u H / c 2 0 H Q E q e q 3 h w N f T 0 R B s 8 J o K J i k g i N F y Y P b W i F A 8 6 G L + c b 7 T Q a s n b f M P 1 0 P D M p C f A Q M k 0 Z j g 9 i N h m i 4 0 A Z 0 Z n M P P C o w W 7 L Y g b M K 9 J O n 2 A c k t R r d + x y O S x V A z F l i k Y b K u d 1 5 P L B c O o G c B e M z w G b q g Y w I X + M v d 8 U 6 6 u r / l 4 y x D k V k o K h I g x d Y A U L D G z 6 q W 5 M 1 G M K V 0 J j p G j Q U E / b m T y m X T B 7 0 T t q E 6 F 2 I i m D I J w r a J / S u d q J O x 1 y M h i 0 G Q 7 1 d 4 h w + c O 9 H u t v Y k x W V C P p n B K 8 C j e e C r X w u b F D k 1 h x K u x J w X H A / Q q H p P 1 y 4 z v S W 6 L g V P t L Z 2 N d 5 Q 7 d Q K w t 3 6 e g J m v b 0 s l h + v w F 2 d t N N s C Q Z 0 7 i L o 8 D n 4 c c 6 P 6 s 3 E G F I A X V F T f l s g M u 5 O O o m E m B B 5 F I k 6 g 4 w O D P t 7 q V O H X w p 9 d L 8 g N / r v Y g N r Q x R O I g i X 5 z p 6 A q Z f x q K Q 7 Y z F F w R L N o 9 Q j n z n H R U O d D 9 Z 8 j x k t V B V J R S G p D e R v V S y d e N N 2 e L 2 i H O O 1 c e x J w Q y Q u D F V s t q F m 8 3 M 3 A 4 Z + E j B 2 6 r i V 2 3 0 e m 4 I K z C H 9 N d i D g J c Q L M Z j / l x b Y J j 9 v w 3 F A X J v S U Z E 4 4 n 7 z e 1 C J C E d k B z B 2 D 3 2 i e l D F c Q x g + R D Y v / s O S + K n i g L q 5 Q B U B 6 U X d C B g 6 P C z V m I B 5 t 0 W V X G 4 6 B V X e Z s + B q O t g + Z e 8 L j U c 0 p 4 U 1 a 2 R g N c d Z k S Y J v n z B M W 1 t 8 v 6 N v I L X S t O M 0 D s m n D j t e G Q S H 2 l N R C Q W i f w d Q i W n B q T D B K I B m Q b y n h R / 6 5 B 7 t 2 b M J Z o I k i A O q 4 b V R 7 z 0 0 Q z B 2 j 2 D m Y L W C V P R v M Y s U C y 4 Q w R H W P L i e S T 9 d p z k j C / D w M u s t C z k 8 2 c q a W 7 0 3 V 2 8 U T g + B m 9 N d O I K N 7 H h k b z G T 6 1 M 1 w z s Z J p L b D + Y 9 T X D v 6 7 s p z z t V O Z R b t x / I L 3 / 5 a / n i i y 9 l b W 3 N J p Z M A h c 1 3 g p W W M d A s N z o r G T t K M L 6 q C C A w F C i 5 2 0 W J x 9 7 u + 0 5 T U 4 C 1 A c k 1 f W J t A 3 e T D L W L J W q t j 2 z b X C Y D Q 0 K h H Q 2 E R E Y c c N n k H R I L k Z G M y i T 8 V m 9 W a + D H w c V c 4 e g O h 5 X u k f V 8 8 a 8 o z 9 A 5 M R + 2 Q t r S / 3 y 4 6 + q v e M v C + u P o d 4 4 l 3 m Y S K 1 / 6 G y A e s C k I T b G S F 8 6 F Z L 7 3 t j Y s P T N N 9 / J + N i Y P H f j u h Q K B b V / 6 r O 6 t g s k x X E j 1 A 8 O 9 o V V F Y O A o 4 T V 4 P 5 3 x 3 / S 1 p n x P 6 h g T O 0 c N T X 0 W S E Y z N s M J i m U V I y n C g M t A t c 3 C 7 I 5 F Q 5 H x 5 8 f 5 E 2 a 0 E n s h o h A I q R T M 5 u Y 7 8 C R c y v k N a R h D Y 9 G O C 6 i 6 k t j n g q d G k / 0 H V b d y o 6 L n o Q K j 8 h 1 a E a m p 4 W i t l Q s e 0 n b 5 F 4 A 4 T h j S q J r 1 6 7 J f / p P / 0 G e v 3 n D n u f 3 v / u j / O N / / i + y s L A g K y s r s h N Q v 1 a X l / y 9 e G h p + H u d o 3 x 4 V K / H 5 v j O j w I H O w d p U 7 G c + / c 0 v X t J w H z t S Y A 9 G 0 U m g K u d K A u m T w N U o T / c 9 S a A Q R I 6 M g G k T 3 g u j j B 4 1 5 A p X N d P m k x x a M Y B T l H f Q N p G U w b U v W 4 H c / G B c 4 M V m 3 A y D F r W k Z E R m Z i Y k P / h 7 / 6 j / P v / 8 H M b 7 L a + v i G / + + 3 v 5 A + / / 6 N 8 + e V X s q e t y J a K 5 a A 0 D g M P z n G x t r r i 7 z U C G 8 C p e U g o 1 C z X k i 8 v L n o 7 P l j E j a g D Q o P w j p 3 m 8 j a A j t f j g s b B N A j / f X 3 4 0 F t G l B U a 3 X N S B 3 k u 1 x W S R J E 4 i y q a h A e 1 K / w d 1 L 7 D i q q c f 3 p Y r d J v i a s 2 H L 8 X 3 g a R 5 E d P A 3 i C 2 g W D 8 Y i Q 4 P l 2 1 T 7 h W V d X 1 2 R + b t 5 I d e n y J R k a G p T e 3 l 5 T E + n 8 x d V N e E y n 8 5 4 7 2 E D A o a M T c U K M o Z 6 q D Q a k J L e 0 J X c D A y H U m D Y I Q f x 1 J m + u Y 6 T C O 5 c 8 R 0 Y Q v A 7 U r K T j w 5 q D O z p Z 0 u I i J z o D 9 z a g / n w 7 r 5 K 5 k j X V k c l 0 K J M 4 0 H j G u c 5 P A 8 3 V P t W O 4 I k l g p v 1 v V F X 9 P Z S v 7 l d r b p x T 1 Q 4 H t Q l h y j y R O W d N j C U 6 d v o B P u l P b W H G k N 4 K B Q 8 h I Q G s V 2 Y X 1 C C b c v W 9 r Z K u H G V d M P S X + y 3 V Q 7 r 8 4 5 n I w s 7 D n w 3 B G 0 H R H I 8 3 B i w f i v X o U p p H 6 h 6 g 2 o U 9 f N U R l z R V N p 2 5 2 K I A v W B Z 2 2 F M P W e q D S 9 u 5 J R G 6 n e / 4 Q E / v B B w Z Z R X V p c k N G x C S t D V 4 4 o A r j E k W J E c E S B 9 / 6 H e w x 1 8 T N O G X H v m G z u g X F R n h 2 l n D E h V F b 7 S d / N r 7 6 r V k u l + F G 5 3 U I m w A h d p p x q B 6 z l R C z c 0 t I T G Y + I H w u D c s D J A c H Y b m 5 u y b Y S b P G J q m F a m v 2 q D g 0 M 9 G u l G L U K R 0 K a Q T b U T V L w Z a D y D Y + M + k f J c O f h k s w c n L e + N l r 0 m H f b A L x f u J 8 x 9 t 2 i B c f B 4 s K 8 T E x N + 0 f R g D y M 1 P 3 B x c b f p H o E 7 5 l o C T x 4 U 8 V d 2 V x f l 6 H h k U i y 0 q f l Y g l d x X V A M 4 F 4 9 D 2 e F W I b T r 0 x + w s S q k K 9 V E L 9 9 6 + r V Z a E g U w u e Z / x n q a b C P W z a 1 t 6 y 5 U j X r N m w M A e H R u 3 / q B O Z 4 v l e U l B o t G C s 7 + 3 V z L V c f + g p N d 4 w x I G B w d V w o 2 Z h 5 H f Z f i C a 5 E t p E h J x 5 b k 8 t w W C f n / / L / / K u d u v C X F k f P y 5 v n 9 R G E 1 D L s g 2 t m m B E t A w F Y g I r y V L U U M 4 m i x X B u z F Q f W n 7 o 4 u C M P 7 n y r a n W P z M 8 / k e e f f 0 6 m p x s J S x / U P U 3 W + a 1 v m u f + 4 G H B b C 6 m F 8 O h E V 6 E + z Q R R y i T T n B A k y N U B U J p f u q / f Q W h u t 9 d P q 6 2 w Z t q 0 C 4 v P l H 7 o r W k C Y N 7 j i u g 4 4 L v x j 1 e 0 S b U k Y 0 8 V 6 Z I P c i 3 t r Z u t t v O 9 o 4 c l v U a / x x 2 W j a H t M t I X h u L h 1 t F c 0 f f f O U H 8 s O r k M / / o Q Q g L m 6 0 r 2 p 9 M 2 s q G e h W 6 A T c V y v X O d N / R S 1 j E w S O C A Y n v j U + L w s q 9 U Z H R 6 V P G 7 Y P P / x I 3 n v v x 7 Z + V h D Y S X g G g 0 P 0 U X N Z N u i z G W + E w V k h n l A 0 s F q u 9 o 4 D h N J t 6 p + + K F e d u u c I R X I f j E J c / m m C S f N p s R j h y a C 0 J G B Q o B u 8 R o V P p z 2 V 7 L j A E 4 5 X L o g n W l k m W 6 h I D p S f K 3 P I h 0 g x t U H z 3 T t Y W V m V h w 8 e y t V r V + y e U S n H x 7 2 5 7 q J e N G / k z m J G H q 4 R a V A / / / L U Q c O y O k l B w 3 A S o 4 N Z O X 5 L 1 b 3 0 6 p d 6 / x O a x i x / d n b W H E B 0 d 4 S x v b M r u 9 W i F J R I m / t p O T 9 Y N m 8 g N t R Z o h W h G u w o f Z 8 c Z / 6 n / / X / / n v 3 E p M g 6 X U n C Q r W L Z Z M o O r s z C N 7 W F z + t v y m k o W w q Q y V j Y v 8 g k A q O P W Q S r m 6 s t z 2 R C 0 Y y 4 v a K m 7 p i 1 3 f V Y N 7 2 b O R m D 8 h C L O h E h j x w O 5 d 7 5 V 7 4 i X k 9 H P M o 4 D z g k p G q z 0 8 P C h T 0 1 N m a 3 D 9 4 8 e z 1 p d W K t F R n F N J t 1 r r V + O a f / r s Q O 4 / e C C 7 2 x u q F K v q l 8 3 b D E 3 c O 4 G 5 7 U a L c 2 8 H + / v H a o A Y V r + r 5 f f 8 R F m e q A 0 6 M D B g n l T A 9 9 6 / / 0 C m p i b t + R x w Y C z v M i u w 2 o U b W b M h K e l P Z 5 M v r n 2 S C N 5 b E K i k H h e 8 r b e v J f + L z w 5 M Q p E B s Y A j j d s G E Z V 3 2 i B g s t n U v N y T e 3 C e h V G 5 t P y 0 i H r C 8 g H X M b 1 V u 6 S i H 4 i x S a z 4 Q f 8 R Q 9 j p Y z k J c E 9 4 9 V p N c Y Z 7 / 9 a t 7 5 V w e S X W m h J u y E g 5 N 7 c g 1 U y v P H y y J 0 M X X 9 P H r c r G v F 4 3 M C H 9 4 5 f V b u x X y Y 5 t 5 a l f D M V w / U C t A K F y b X o o H Z A o T D D j G h 7 I g / 0 0 N e V p F 9 S 1 v / 7 1 U 7 l y 9 Y q M q R r I + 6 N q E T H C Z w l H + p s r J S P k F / N 5 6 4 N 7 G o g i l H F A E 5 L J h J F t U f 3 K k v o v n + 6 r 1 O p e + 4 n n o W c 9 a S V w 8 J 6 p s R + J O L + w z n 4 S o E z i W r I k S G K v A N f w 4 Q i h c j I l w O 3 5 f X m 4 s C W H 6 T 7 p 6 x / S + 0 j L o U r s 7 Y 0 l W X 3 4 m R T H L i u x r k h P b 1 G K q j H h B U x a l p 1 4 K A H e O O b + Y E I d h / v 3 7 5 v 0 P X f u n J + j E m x z Q / 7 y 0 S f y 6 t v v y s S w N x a K W W x f O 8 c 6 U l 4 9 o / / t a Z E J R L 5 X f Q f 0 P d X U v d o W 1 3 k I 3 U Q m Q P B k u 2 Q C t N 6 s l R o E e a e B 4 8 y I B J a X n v h 7 z Q H p U O 9 Y t f H b x R 7 5 4 / 1 e e b I 3 K M W B I U 0 j R i Z G 4 W Z V z R 0 a O y / n X / 6 Z 5 P q G Z P H W H 2 V l 7 r a s r G 3 L l 3 P J 1 F I A m e Z n Z / y j 5 M C x E C Q T D Q F S t U c b g S A G B w b l j T d e k 9 t f / V V + 9 V X Z y I Q m 4 G Y A R l o 9 T T K B S B 7 4 2 0 a o 2 q f / p / n A 0 y B K E u A C d j 3 r 7 W J h f u 6 I N G L F d z o W T x r H n U A z q k + m G e 4 8 q c j i 2 q 5 k K z t S O F h U 6 e Q N g G S y T D d T E s g X e m V 4 / K J M v f S + Z P J F W f j + T 7 K 2 s i i L b Y z o Z z D m i t q e I G k 9 m Q j N 9 c A o A M K 9 s H P D w O v 3 + p u v q d r q O R x e V v U e E I 4 U c X n 3 A N 7 4 1 O J / K x r 9 7 3 S a 7 B P C S x 0 u 9 o U n c G q 6 r l o 4 Y K d E T Q 5 y X C z M z / p 7 n Y H I g a T 4 f n Z H l r a z 8 v r l v K l 5 e 7 k J m / C T c C Q W L 2 M E K 0 N E g u 0 6 0 4 9 d P D 8 t 7 / / k h 3 L / 7 l 1 Z n v 3 e I v O b g f r h K v S I r / Y x K P P h / a M z p l K x D u k u 0 A b L A f K h Y u N I + e T j T + X n P 3 9 f B v q P j n x G p b q 9 p j Z U G u e L X z E V p x 2 v e D z 4 V P L v N b A j q X / 8 Z E + f 3 Z N S L g G 3 D S I q 7 7 R A z F r U i g y t g O 0 E 4 t S 7 5 e V F G W u j A i c B 3 k T s g 0 6 R J C o B h G 2 a B 0 t l m R h Q C V m I t r / m N t K y t J W x E C Y X 3 b 2 9 s y d z T 9 b l 7 s y K 7 P d c l O G h A e k t 5 K 2 v h y g F H E C E M R H m x c x C U W C N L a o C J K p U y + Z J p U t i c 3 P T n E G E W y G V 7 t y + K / 0 D / X J e y X x O G z i m E g u C O 2 J V j u A U A I y 6 v T x 8 K B + p P f U 0 v H p R a L S j l C N q J D o b y t l P L h m h n E M i S J i n T S g m 3 7 j W g b r n 7 j H O S U D / S l q N M j e J P a C i E j z L Z z q x s x 4 9 u G 9 9 U P R 7 4 R k b G h m x Y R v Y P E l c 6 U n j / a L m Z 6 d / b e m J 1 9 l N t 0 H c 7 z F S l u h 2 b J T Z 5 V 1 Z W 1 6 Q u 7 e + l o H r 7 8 v Q 0 L C q W m V 5 s J q x Q F V K j t m Q G B W d p E o T c P z X v 3 4 m G + v r W o 4 D c u 3 a V e u 8 x b 2 P 2 s 1 c 5 X g L X R c A Y K S u W 5 G y 2 1 G r S 3 D E 3 x 5 1 S n j R R p G E e t p k A o S a d O K M w E E Q X E o l C o 8 f 3 p f h 4 V H p L R Z V 9 V m z v i 0 6 g H l G J r f P K h E w 8 I k D J F K 8 G c k o u 7 j z V s D 6 M t y Q d i r 7 y t K i S R n I w X l W Q 8 S u O 3 / x s l 0 T B 6 7 d 3 d 3 W e 1 W R F A H 3 f t b X e Z 6 i S Q 2 8 b Q y 5 x + 3 v Z j F i A C O 2 6 e N V k Z W 5 u 7 K 1 d F 8 G p 2 5 K / + i 0 T A 3 n G 2 Y p Y o o u F p l u 9 h p w O N y 7 d 1 + f U + T i x Y t G I s o j 2 E j s a T n 2 F H p k f W 3 V 4 v i A i 5 5 / F k F Z G 4 l U O j t S M b u v e f n O m i h J s T D 7 u K O 5 F S B C K 1 y 8 f F X 6 B w d N g k A s V w Z U f l a K Y H Z T 4 v 6 o + O R R m d f X 6 U j d t j m 5 F x f m r C L h 5 C g T 6 R A D K h a f p 9 O W R A s 9 q a o P o 4 D 5 b m I M 2 Y + a i j g M + t b i y A T 4 H d K w V V j 6 d K o 2 R d j M a r V h S j A k z 0 t T h / L z m 4 f y 3 p t X Z P L G j + V g b 1 O 2 1 h a 1 g q c k p 2 R z w O u G + z s O / A b j z O 7 e e y D n z p 8 3 t b f W u A T q V c k f 0 t / j d + p C J E e m T h r N p w u e y 0 9 u N 4 C u b S L O X d D W T l s 4 K n I 7 x H I v L S k g R L O Z W a m k V J K h o R F T t 4 p q W E 9 M n T M y Y j e w l u x x g b r W q m F r Z y p m p M S T j Y r s b 8 x I q q r 2 k 7 + W 0 f M T B 7 Z K B m D U 8 K W R q l w Y L 8 r A x F X Z X r x j A z G Z z 5 x Z a 6 n o 2 F V u v o c o f D t T k n / + 0 y 1 5 5 4 d v S V + o 3 J G U g O d y 4 8 H o E + Q x k U 4 O S N F n B 3 q z 3 K + / A a Y E + g d s u p J Q D J 0 G V G Y q M q 0 4 L 2 Z h b t Y c A H E g s j t J B 2 k Q 6 W Z z Y L U A 9 z e e M H 6 v G f i e Z p I O M N F + U q h A l W 8 W l S g j 5 + U w V Z D t / B W L 5 2 O l j z C m B s v a c P V I p l B U N W 3 H K j g r a x C M + p O r 0 Z H u X M N E o 7 c W q p L p G 1 b C H F W x i b e c m 3 l k + 9 i V g H e z 0 s Z z d B 3 0 u W u l Y Q 2 g O / L N J U 1 d R y h a x q s R Y 5 6 o d F P n P L V i 5 v F D i + d D d w 2 i k z C Z 2 c f e S + 8 U e L q O C 8 j U a m X E k Z E x c 0 A k A Z W d Y R / E w u U r a h P q V w f 7 p 4 K w c C p V R X u H p m V / a 9 1 s A l a H x M 4 i Y t 2 B + r K w u i e / + m J X / u H D D f l v H z + R j b l b k u 7 D G R L d i C H J e W / Y U A D 7 l B i 4 Z x a + e u q 7 J j x O s f U 2 B n u L r d S N s w R z D j Q D 9 3 p B D f j z F y 6 Z y o W b l r n H m X q r k y V n p s 4 1 X 4 S 4 F U 5 i I n + k Z C v J y t q + e C a T r B 6 C M 4 G h 8 C B T 2 T W J E k V X 8 v H + 9 e R S 5 s j Z X P j O S O u W 2 w n i H z / Z l V / 8 8 5 / l 0 f e f y u 7 a r B H v 8 r U b 8 t 7 N + B h E 3 h U z O G E 7 E k O J 8 6 d 3 8 O T 7 A c 8 O 4 X L R A o Q 7 R h + P Z o m c E m d J u K j F i 4 O A Q E F Y K M 7 A g N l O v O T l p U V r 8 Z M + F / b G c d B p 8 G g Q j I 9 K A m w 5 7 L g k o U 6 M k A W l 3 K T N V a G C 4 g i Y d Z d 5 K J h 8 / 0 f X P c / m / v 6 u B Q A H M b d 2 K K u P v p A L z 7 8 l b 7 3 z r r z / o 5 f l 7 9 6 Z k v d f K c r 0 a L x D B c 8 X i 9 x x z 3 S q c / + o k E S / J J m Z t j u h 9 6 3 1 x t W v 2 v / s a N 6 R h u s s y R O F h 0 0 m 6 g A L c / G x Z R j u Y + M T p s L g h S O C A Y c G o 0 + j g B v 3 O G h m z 7 U D P I B J w b O F 5 8 a I g j P 2 C U 9 y M w + F w X Q C P 7 i 0 7 0 0 H l i t 7 h M 1 n T E U M Y r A v J 2 + + e F 4 u 9 8 z J 6 x d x Z q A W V p u 6 0 w 1 6 A d + J 9 k D / 3 + r q i q l 9 x G d O F C t H l t J 5 J u B z x 3 b h i p G L P C + 3 V n R P m 0 g O Y 8 X m 9 4 H L O w m Q X F P T 5 0 2 C 4 A K n X w R y P Z m f s 5 5 + c N z p s r D n G G K P W / 0 4 5 U f H J 9 E S 9 F G h v h L e w 7 0 + e n B P N l T F o + N 5 V u 1 G 7 v v B 3 d t W Q e / f u + 1 / O h q P V r 0 O 3 k o q a / N N R M G b n N E j G w 1 Q b 3 n Z 6 3 c K M G X / o G L R 7 I + X S n L 7 8 b o e x w + j C c M k n q q Q N A J o A p Q X M / Z S U i 9 N H 9 i E l 8 8 W o I 3 e v b 1 r 7 3 0 3 / K / 5 q X / 4 y 4 5 u A y I s o m J E 5 Z 0 W G K o R 5 3 j r Z B Q p / U a 4 u r + e 9 2 Y E C k 4 m g n q I R O s U 9 7 V y X 7 1 + w z / y y o k B g 6 v L y / a b D G j E z i P k h o l e 6 H t C D Q q r i X T s j k 8 k G 4 X s 0 G q O D N Z 4 Y u 7 x f E V J k B 6 y G X f d 6 n 9 R I G z o k 0 8 + k 3 f f f U f S 2 Y K s b u t z r G / I J 9 8 t y e 7 y Q x m 5 9 o 7 8 2 x f S M j T Y Z 4 6 G M J x t R 6 S 7 G 0 T o O r b d 9 R s 7 h / L 5 f J / s H c a 8 4 C 6 H v V 9 r P O n M 9 S M l / M 5 d + i T Z d t 2 T R a 2 g 5 7 D c Q a S 4 s z e I E P g u N I 3 v c c g E c I 4 E Q c W B Q P Q r 9 a j N c O 7 C J f N M s m + q a C Z j Z G L W W l 4 I U h N 0 s t w o n 2 8 G Z 4 s W D r 1 I 8 b g 5 w w F S Z G Z m V i 5 f v i A V y c o / f 3 U o / / L J j P z + D x / Z P U + / + B P 5 u 7 f 6 Z X i o a J U G V Z n G j W 4 M 5 x I n d I t E W B f S j s q H u s e W e S C Y a n m / k n + m y a T / s e f t s 0 U y W T b H X k 7 X P Z 0 z p q N A l E G 7 o E I D j G E m / 3 D 1 0 K l 9 x 8 H W V m c r G 4 6 M e X N D E J q z v r Z m 6 l 6 7 w A n D h J j O s 4 n E w h m z u b F h 0 q J y s C f 9 B / d l J + v 1 k / n v P B I 7 O 7 u y t L R i Y U F / / L 4 s y 4 + + V u J U Z f q l n 8 m b L 1 2 V / / G N g p S 2 v Y 5 a p h 3 g O j Q F y j Y s b f F 6 M t y D I G S 0 g w / u V l Q 7 y M o r 0 / v y 1 c L x H T h P A 4 5 M P o X 8 P H / r c u y a g A 3 V L W B O 7 C h 4 6 k N 7 t 0 s r 6 t C b r 5 r x v e u 3 k P T a s y I 5 F R F 7 h V a 1 X R x 3 H B R A H X S z 2 r Y D J A e z y 6 6 p e g l Q / 7 B V m L K M 7 x s d L M h W 7 q o U y p 7 j h Y l O o s D v l v Z K c n d u R / 7 h l 5 / J v c 9 + L b n e I T l / 8 a L 8 / J W 8 j O e 8 j l g X g 5 c E j H F i D k Q 6 5 K 9 N 5 W 0 h t A 8 f F m x F w 2 c V R p s A s S z H H V u e X d B 9 N t R U f 1 l e O x 8 t P Z A q w S H t r R A M x m w F V B n G 7 2 A 4 M y n m 8 M i Y S R G c G 3 G g M r b q P 0 o K g n Q H B 4 9 O 2 d w K X u d 2 d J T 8 B w 8 K s r 2 7 L 1 N D G R u 4 x 9 w V B M 3 S J 7 S l k o x o B v Z X y y P y x c M 9 L d + K P c 8 L 5 z J y Y 8 q L O s c B 0 m 4 4 F 3 1 Z / I 6 b z f Z Z R 4 0 f 2 E 7 s a 1 2 x K P N a x L k m t a G s 0 e 8 2 Q o G 4 + c u T D n N w c A 6 J J I g j H y o V J E Y t o 8 X F S 2 W G t l Z g Z i t C B T o J d D q m i n 4 5 S B D l K E C V w 3 1 e y H s z 3 P I e H f E 2 9 H k H A 8 / L G y Y Y t i e H O 9 v L A + 1 M 2 + Y A o Q 7 2 D y y a / 1 e 3 n o 0 h G s 1 Q 4 4 d z R g S d E h D L 3 5 L a 0 6 G e M q g y 7 Z A b A i R F X N 8 O k e B U Q u y F k d E x U 6 1 o s S E 2 p K J g I f r 8 z G N T I T t F S a U H 3 5 U U S G v 3 2 1 F k A s y Q 1 F / s N X v H c 5 j U X 7 d z i D j w D a h m 4 U X n G d f U L l Z X V r w u C X 1 V r Z a p 6 X 6 4 + 1 d S + f 9 7 5 L K 9 2 h l H u q 4 j V L P O P g x g x i g l R T s u d v q C 2 o F J K b + S Q q 7 p C x e 1 k n b u 6 G g 1 h i u M g 5 J H p G Y V P j g k P Y y k k t v K O 2 E j R o W i z 4 x h K Q D p G B w 6 8 k z C H t 1 / f s r B 7 f r / e e T i n 3 e i 6 w j F A l q M 5 o x D 0 N H Q D P Q B t Q P X d 3 I c x A i K R E B d w J 7 x 9 l E r 6 q 1 e E K g b Y G t 7 y 7 b N U D n 0 3 N d R o O I n Q X / / o F 9 V G s H 3 4 l W k Y 5 t 3 s v h k 3 m z K d F p F n P + b X 8 4 / m 1 6 9 S O g j e a T x 3 4 k m 7 9 j P t 6 w u l F C g 1 K T P Z E B b 8 t X V 1 m R p J 2 i V g g i 7 f z t B O 2 O W w s B O 2 1 G S c C 9 I S 0 j F l n 4 e 1 D P s Q S P d z o 7 1 r S E F 4 l Q 9 h 7 y q f H G Y S D j s B D f 8 H I M 9 9 R 5 m H j 0 0 j y h R G w z N 4 P e 5 D z S B i c l p m d 1 U 9 T h b s E B e p F N w r o h n F V C G d + K R y N t 3 + X r g 5 3 P k p a 5 8 Y r W h m y K J N 4 z K l x S M x I 3 y k r U D D N N 1 b f U Z z v F k f l b 2 V N q w s A H 9 T B A D + w q S 0 J q 7 l x K G c 3 i Y C z y T 8 W w 1 t Q N R K V H R 6 D R m N D E B p 0 m 8 i 7 s 7 u y o 1 o t W + n a 3 o + M Y g u M 8 + / V 0 i + 7 k H B n 1 m s h k Z V / J w r z v 6 j D z b m h 8 T a S u x q x H G s / / 1 8 f 9 P p F O A M D W J 5 O f V t n 4 e h 1 1 J K F Z 5 b 4 a 0 V j r X Q x + H d g J O O / G u h Y G D Y n x i 0 l r n y W k / O k K P 6 W f i X p B e k I V E 4 U M 8 y E V i z S S 8 d b v b 2 3 Z u a 6 t 5 N D l k S r J G M I 6 B 4 G Q 0 Q T A F Q D N 4 F a Q a K h t v u m 4 k 0 s D Q s M 2 H w b O x J a S K i A g i L X L 5 g l z O H 3 8 k 8 9 O G l Y F P I / b Z 8 b Y u l y z v 2 A 5 1 2 5 W E e u A H d s a B y k s E u T 1 c B M h v p 7 9 q Z e n 4 o 0 h t x K 2 S p R k g E + 5 r p C H E o 2 J 6 l X P I 8 i f P n b d r m E e v G f g 8 L m 8 q c T P Q 6 M R J K K s s M e U H s O e 4 l 6 D k R k L S v 4 S H k R A j B x 5 7 X x u G m x M H s r r r j e 0 a G m / P 1 d 6 d q B P F j t h S b j 6 J v G M v 3 / 1 1 J a F 4 K d x r M w x q y x 9 X I Q h 6 p T I k R d Q a u G 0 j + c 8 1 B R I g y X B 3 K n q r 0 C e k B y S I A p / H L i L 6 3 s F F a 6 y t r J g N G i 5 D 7 o 0 p w 2 i s g p K P f e Z T 7 0 t v y 8 y S 1 / f F v H r P M o w k x h f + v G P v y D a B Y 3 9 r F 3 c p o Q D L x z Q D L 5 s J X C K h D + a G V S R B X C v e D n A W n A R M + i S w E X l + w o w I U G 0 G n B l R W M M L q u U 0 P D p m d h 6 q 5 5 q W 2 f b 2 l t l N U T b a k t q E e E O j G i v c / t h V m X y / 3 F 9 W O 6 p J T G b X w 8 h i O / b P O 6 6 T x i O T y 2 7 M 7 1 p C 7 S X w j j P P Q p T 7 F / 0 e 7 x O O A l p d 5 p 8 g 4 i G K Y O R R E Y 4 L V 8 g n g a Q O F W I b 6 X D G 4 x b u q A W Q J G r M 1 6 O H 9 y x A F w m G s w E 7 D 9 V z b H L K 4 h O J A A m D c h o Z b b 0 S x 2 h f W d Z L L N / 8 j A J i + F t / x / v z j 7 2 z 7 t j b e q f I 1 w b R / u 9 C j C V c y h K D 2 F V m O i H x O r k W l G B R W l r P S + U Z 1 4 T S Y F s w y 6 n Z I P p Z r j s u i M 4 + K R x g j 7 U B n C A Q I g x K w U k a y g g X O C S 7 e P G K 5 c W B a Z T D o E y T 2 K W s u 9 t s L r / u h U + O + p H / x 4 F u d c e O b J 9 c 7 6 z l k e x U F 0 s o l j J h A p F W g A x O r e G l u 1 Y 3 C q h T x K X R 5 z Q 4 N G Q F w J B s 1 E M 6 g u O k W B K g K p 0 U m G W 1 H a C K R c 2 + x D 3 t + P 1 X e B G J q t j e 3 m w 6 w x J l O D w y Y k u c u s + R K K M o V S + M t y 7 u y 9 s X T m Z q g D O D k c T f N 3 g E 8 f L d O W O M 7 X t 5 X v L y 6 q l W s k k K 6 y x B x M S n M / n W H j + 9 7 9 6 + X i O C G 8 q Q F J A R l R D 1 k D g 9 m 4 5 Z v 4 c 8 Z o e F Z H g T k 8 w d 0 c 7 w h l a I t Q 1 j w E o j R M o 7 p w J A E v W q + l Z Q m 4 d 5 1 v E i 8 r z M l N s K d N 5 6 4 U M p i 0 r n s 6 0 G Y y L x b Y q B u R k Z K a r U f x a F l A G S 8 K 9 O G D u C M J y w R L Z 3 z j v t 5 + s 2 0 W M / T b I x N / f t p e a q B l 4 m i I D b u V 2 E n 8 y p i c w p B 8 m w Q V x f D N 4 3 1 M X 7 d 2 4 b 0 e i s p f U G n Q 4 2 j E I n S + 7 g o H D v i f A k J B Z q I M + C R E 7 6 D q k o O G m c e 3 8 4 w m 4 i U p 1 y e H j v r k l 1 g M S n E 5 r 1 p M C r 0 8 3 7 C b s K w a K B F z 4 5 7 F C 3 N W L 5 + 3 U y c Q 1 X + / n 6 d 4 R Q T 5 M 8 c V j Y T J s r t h k Y t + M 9 Y H u g A z Y p G K p O 5 b z 6 3 A 0 j G j Y F l Y 7 f Z Q U L J l h h t O z M w w c m 1 f D A I T X I 5 x r 2 r e C 5 z y b 3 6 m Z c b R f M 8 j Q 3 8 9 h c 2 6 i + 7 b 5 L G g V v r o q i 9 a u x j 1 u d U C e G t 9 T I o 9 K Y c r h 8 7 X r N N g 2 j 3 U W y n y 4 a y 8 m 9 I 3 t P S h L e l e 2 5 P P + Y c 8 F r S a n / / P G u N u 6 e 3 W A X B 7 Z B R O W d F V h E L J O q y u s X D o 5 I l C D o j G y 1 + H M Q P J O 1 5 D E 2 V y t Q 4 Z j I k a E f z A s O w f I 9 3 r T R 9 O N A I F p 6 B 1 p + K j l j h a j r Z d R L r b i M q S J a A m k A C S E D M z a 1 C 9 4 j l d 5 5 L R 2 B y W e p m 2 2 9 V 2 I h C R W i A U C l x d 0 N Y Z A 4 E 1 P T F k 9 I V I f X U e 3 F G L Z L z E W 1 f T 8 L z F / + L M C r 3 z 4 x t P W u j X n S r Z f n x k C V t X F 3 Y 6 H q 4 6 B w c N m i 1 R D K P u C n + p c 3 I i r v r M B 0 V 6 x g z g S J c U u E U n k g B 5 U x K X i m 4 0 j k V i O C W b d p f L J 9 9 Y 0 + I n N 3 p 9 I 1 C Z h R o 4 Q l N V H h e J E Q l S 3 n H R 7 e v y f n L 1 6 y B Q z w b E L O C b W v q B S o x b x 0 C 1 z V b b O B k S b t 9 c / F F r a L 3 9 8 t d M 1 i a U l B G d f I Q 4 I 8 R p z A 4 m q 6 h T x B M n n 7 H q H Y P h O C G T K B u 8 v x D g q 8 U O 2 Q C a C K H Q t a 8 M 1 Q L n c 2 P q q s L x F b z p H F D a 9 G + v B S 8 W r S g K y v r V i + 8 1 C O q s 0 H 0 Z i 7 E M K c U 3 J x 7 K 0 w 6 I U 7 g W Z k 4 v v 5 b i R 9 p 4 3 N Z H + y f r R u A Q S y d 8 n r 9 P f t z 7 a q v Q W P 4 5 J / / p n S d A v p f a t A 3 H g Q H D N v d r v o Z D R q E K 2 G v 2 O L d A I M f E K G I A O J 6 H J U L 5 4 R S U N H L J I K m 4 7 K n 9 N z 2 G y t A l 6 b g X J l U k 1 a Z D f 4 k H L l + 6 0 l D p V 5 F P D I / u 5 O Q W 3 e 4 / f r n R W 8 5 / I J Y X 9 + n p + 8 j d t n 6 x 3 X 8 r y M W l 7 6 O C r P W W N l b V P u 3 b s n c 3 P z t u j y j t o w P A T P 0 F d s n x x R C z A n h R H b i j 8 e q E 6 d A H s s 6 T R n e P I g E h 3 c n Q J 7 C W c K i 8 3 R S D C E 3 e a F 0 E R n e U V J x q r 6 S M Z 1 t f U W F x e s 3 I N A x c M j y x C O / W d C Q H k E 8 L a 2 M W K 4 A y M I m f 7 W r m U f 9 Y 9 8 L z d 0 v t K 9 a + x G Y X t 7 Q 6 7 0 z E l 5 e 1 m 2 / M 7 c K 1 c v q 4 E 9 J M P a a r f b O N B v 0 s 6 8 E 0 F Q F l S 4 Z q s P d j J j E H D l n P R 5 e H 8 z j x 7 I p S v X / J z m c N + P 5 C F 8 C c 8 g C y 7 g Z L H J / b V x a j V A k 1 A n 1 1 k M P p 3 J 2 f C N Z w G 1 e q x b / r x / + u c 7 I y x p m b o Z j j j 2 O K J b l d j u u N G G Q i 3 3 F 6 3 m B 7 j A + w 3 v x 2 o / G k B U 3 l l j e r A s N 0 d 3 r D L T m Y m k u n 3 7 r r z x x m s 2 H x w q U l I Q B x h c V b 0 d 0 H J T m M 3 c 7 s x V P t r B 7 L T t O l j M P a + V m 3 k t G E v V 2 1 s 0 h w l q I l H g f A 8 2 V i b j L S J N h a D c 6 B B u R N V I w m u O C m W K w p O F B S m O T M s n j 7 t n 1 f Z W s H q s i T / v n 3 9 s q U 6 e o w 6 J I I n I R x 3 W f V O L Q 4 Q K p t q P h h C V d 9 b A 4 H 0 9 M G 8 f i 6 / 1 F g f k w w 8 + k h d f f E G m p 6 e s 0 i Q B l a c d A g Z h h a c S p N n k m 1 4 l z p j d 0 w 5 c O S e R U F w L + X A 4 h K 9 v 5 o V s 9 u x E a u B e j x v 6 4 U D M 3 q e P 0 7 Y g w b M E K 1 9 N b P m r 7 V v y C B Q l n T w i e S S q 7 z t S M b d 5 + d m y o c C i q h V B W u 9 m p t S I H p G 3 3 n l P l p a W 5 e 7 d e 9 b f k g R U 9 k 6 B h 7 B S b h 7 3 x w s 6 O F D 7 Z H P D 9 p O C l 2 T 9 Q A n A 2 C 8 8 g u H 3 y E t u 1 r + G d I 8 D y 7 C u r a z a d z T D 7 a X s s 0 k m t v a / B / b r h N L k S M Y f 1 w f P R R 7 7 n k B N b X n 5 u o F 8 3 P 9 2 q X 7 b T 0 q D 8 u G j g m z L k L z 6 6 k s m n T 7 / 9 A t T a Z p V C D o y j / M 8 d H 5 S k Z s B O 4 T 7 w T t H p L d 1 B C e I 6 E A y t P p u g N p L e F S w L 8 q B F j X T R H o W i 6 y p G x 8 e N D o + b j P N c t 9 R Y K G 2 V m P W u h d e + S s F v A p l 7 y N I E r K 8 f J c X 3 P c S U u t o v k m o q I r V D e S J A 8 v / O x y W P Q / T w 9 W s 7 F S K F k t 2 + c p l + f O f P 1 S J t W Q V O I p Y F O F x Q O c r h Z o E V H h c 4 U y + U l C p w e f u f M / y m 0 y / t W A 2 E 1 t e C I P 9 O L a X 1 Q J I y S g y A f T / V I s I 1 W Z S C j A 2 C m d F 1 G I G X y 9 4 M x s 9 U 2 g o U 2 8 / S A b L Y x v I s 9 R A t m D y S F X f r 0 j q F 5 8 d V N 0 L d B W P / e A 2 i K i 8 s 8 a V k U N 5 f s J T i c L e J S I p L g / t m X v 3 k 4 8 / N a M S 2 2 p k Z N g 8 U s 5 u w L P F L D 6 d A j I k N d z b A V J D W z m L q 2 v l M C F A N 2 o A I e C d 0 i j G E Q 6 g i m I r t Q L S 3 K m P L D d E J E Q L b b c r 0 V C v N d U d D k F y e H l 0 F d T 2 a 9 d h K 9 X t p p p T g q 3 v 5 b P S d t K o m 6 V S E I / W s r U X u h 1 S O 5 h O G N L g 8 f v b n 7 4 n P / j B W 7 K 2 t i 4 f f f S x 3 L p 1 W x Z V a m 1 s b F r n 5 a G K t + X l Z V l Z Y a n K T a v M z d T E I J g y 7 D T A W C 4 c D J C J k c b N 0 M y h g j r Y j E y A t 5 2 k g Y R M t n a x F s 3 v 7 z y b Z N I n 9 T c e m S C H 7 V s + e d 4 5 j 1 Q c Q C D d t 3 N + v p H K P + / y A m T T H U n 9 1 8 8 P T U I Z 4 2 o X 8 Y V 8 x t u G E Z d / V m A x s Z 9 e L 2 k D I P K X R 3 n T 5 x 2 Y e e f y S L 1 n k X v F o 7 W 3 V 7 L 5 9 + Z m 5 2 V l d V V y 2 b Q 8 f / M F + f K L L 6 0 1 3 9 3 d M w / h 2 P i Y z Q c + o K o O U o g K j i 1 E h 2 e w g u L B a 9 Y H d R J g m A R u e f q z c H 3 v l X b N J b 5 f 2 r M 4 O y Q M N l Q U k k h Q y o U R z k m m Z a Z + f P Q g J Z s H x 5 8 u 4 G n A 6 q w m + 6 v 1 N w W 3 5 D d K o 6 D b H O n j t p 5 0 c v t I J 7 a e l y / 1 T 1 + U a 4 Q K k s o h u O 8 Q l X f W Y O H j 5 8 a 1 Q h y o C n K v X r E h 2 / v P x Q 8 I L K k U o h I 9 e v h A J d e m h e y 8 r V I M 6 c z + 1 u a 2 z M 7 N y m u v v S q D / h g j n h c C s Y / t x F I 3 S I D j z B S b B M z Q e j 6 0 S m I Q R I n H z Y n O i F t G J 7 f S O p I 2 D H t a z n 8 I l P O z B K u v m u w P M v H H c a 2 + s 4 U k / j 5 c q B H K I 5 J H I I 9 E 9 X 1 P z X N q o L n N a X X D h d 7 q J X Q D 7 q 1 k b f 6 C Q q 4 q Y 8 W 6 D l K u p p q q J D g F I M r g Q L 8 R 6 Z 0 f / d D s E K I t J i c n 5 e K l C 3 L 9 2 j X 5 4 M 8 f m R 1 G g V M e S C k q H v M 3 E F 1 x 2 m Q C b r B e J 6 D / q d V 7 x D W / t 5 M s P O p x z M L X 3 Q 8 a f 5 9 A P q l 0 x 0 v + f u 2 c S 7 X r P b X w y H l H Q P 9 Y / 9 P k q X z Y v w Y K 3 6 V n B d 8 s e L b U m + c 9 9 y / L f n K 8 G X C r x 4 G 5 + J g S C 9 U u H 1 C N U P E m p y b l 1 d d f k Q 8 + 8 E h F a / Q 0 8 F i l a B y 4 J 1 T Y O C w 9 m f d e d h O g x v Y k D B C + r w 3 Y s w i v v m v F 9 0 l C h i O C l z z S k O y v 4 V w o N Z w P k q q + N U I 1 I 1 J U f r e Q D o 8 T K z x w O z d U / X P L 9 L P 6 e S s g Z b A z o o C x P z k x I W + / / a a R a l V t r q e B y 1 e v + 3 t H A a E m p + L X H J 4 + f 7 H l e 6 I C u E W 9 m + F p N S j H g 1 f x 9 T 9 2 / a 0 j Q y A F S K L / 1 a 5 x 2 2 B C A t X J 4 + d p 2 d g + Z a R b m 1 H X F X z w B X Q L a V q B F R 4 g 0 k R / W b J p 1 D P V 9 x P E l O V z e Q u O j Y P z F L 7 x + m s W 3 Y 4 B f 9 Z A J V u P I X M r L y P S K x z t 7 i o B z 8 L o Y T p t c V w 4 w l g F U d Q I 5 F 9 7 7 H F j Z w p X 2 Q P 7 9 s e R l + e S K 4 + 4 p P 8 F t t h M 7 l w j q d w x 3 2 m O K 8 g T R a p m 6 B b C c R s r 2 y k p 5 q u 2 a g f P t a u C Z 2 W n u d q 3 u 7 d r 6 l 0 z E J p U 6 C n I z O N Z c 6 m f N S y k K K J z l k r O 7 K 5 I F 1 4 k Q b 5 s g 9 K m X 8 + 7 v i M G X 9 K v B c H c M H x v X N W I 2 Y K c g 0 S s F s K W G E A c N 0 T 0 b 7 L 2 r 9 q X F 4 e 6 f U y G q 9 z + o T v 2 t 3 b C z v v J l y i W V / s s y Z E l u P U J o 1 t P S v n 5 + h 3 B c w i n d F 9 6 z v S + T k j 1 N F H I V k 3 N y 2 l 9 q + y t q b 1 x X 8 7 3 L N s S l P R N f T X f v C e f y U e S z C U B 6 f L 5 X I N 6 S A F y j H f 0 N M H v 6 F v x j + p A e j K i F g 8 f 7 4 o + K 0 c S B 1 p T N 6 s u X i h b K U M / U 5 a 8 r Z D h Q I t q 4 6 B 0 O z 4 5 Z V t c 8 b j p i Z J g E C P o 7 / G l V r f B K j f J P / b h 5 X m E I b n j W g q Q S P / z 9 + v k C B 4 f 3 d f k e w R r b n b 9 u 3 n z g m T + l / / t / / j 7 U m X Q L u I l u J s B 3 U y w s t p P Q 7 0 V i 4 w o 9 h Z k b H R Y e g o 5 e b B C i 5 4 2 + 4 r H C X o A g y B O L U m U A F h b X f O k V S F v l Z m W + 8 6 d u 9 Y Z j L s U d z s S j H M m 8 k 8 I R J G n V U L x v c 3 A c y 7 v Z G R / e 9 n i B g + U 5 5 v 7 W d m u D F g U y c r B s D k V 7 i 1 n 5 e F a 1 k b W 7 r G W k z Z K b i 0 u + v N u L W a l L 1 e V Y s F 7 / 0 G g A e B V p V y 7 B l R s f 7 c O K r p t L L F f J 0 K I F C 7 5 0 i r 6 H N v A 5 y C P k 0 x 8 z v a 1 w P X 4 t d e u a M 3 T 8 o E v t I R B A i U h 0 d M m G h V E n 0 b 6 9 G W D Q j Y l l 0 b 0 o e 3 I G 5 K 9 E u j 0 d a A g k s 5 n j o 3 x / M 0 b N j 3 x N 1 9 / a 1 4 / O o E X F p 5 o q 1 8 0 U k G u 3 / z m t 7 Z P o Z 8 U m O G V M U 2 t M L e R M b f 2 4 M i k z b b 7 h 3 s 9 8 r E S 5 L v F n H U v P F E 7 c 7 P E S F q v S w E C z q x l b I 6 O 7 f 2 U X U v n O G T 5 Y j 6 v 5 D v q 1 E H z f P V c l 8 2 1 1 1 D 9 K H d N V v z U g f q f H T t C 8 H 7 8 Z H + 1 b Z h U j k Q Q J 5 g X l b C d 8 J q m J f M / / + / / 5 9 9 n 0 y U p l f v 0 B D f D 9 / o 7 z w B m N 1 T 9 y V W k X 0 k F v 4 f 6 K g 0 u X i o b w b M T / X V J x e h W 1 o 5 t Z U M B G g 0 i x g c H B + R Q V a f P P v 3 C Q p k u X b 4 o 5 8 5 N y / j 4 u K Y x U 5 u + / f Y 7 G R t T d a n D U c B h M O x c C s N W 2 X k j O a 3 n U W 3 Y Y E 9 V p g f K k s 2 k Z O c g Z S p v k s F + O w d p C + M K O 3 E g 3 X i x e m R u P d R r P K h d J a W C g C d G D i 9 Z h f Y r v L f v p f r 5 O i G O p t A 5 k 0 R o c c S 9 6 r 6 R z N v n e 1 5 5 + Z J q P L 0 Q 6 v / 6 + 3 S q o o X a X 7 s Z u z d / G 5 R a 3 Y r F r Y w 8 0 I p B 9 A S G 4 Z a 2 x s E Y v w t D F a 1 0 d U I R H T D M w L s 2 n g l J x Z C H g 4 N d u X r t q n 3 e W 9 r F s 2 l I 6 + t r W q m z d l 2 n q h / q 2 u d z e b M B l 0 p D M r O R U w m T k Z l 1 V d m 0 o Y A A O y p V U M G y E M z / H G 8 L I k C k V t N X t 0 L p 0 C P a p e H D h i m V K d v J g Y p F 9 n c d 4 I d f f 6 3 u + t t a C p y r E a U m e e r 5 R j K f P M F 8 t j h s 7 J y d r y c + 8 / o b 1 4 w j t g 4 d y b 3 / I I G S k K h b i M Z d b O x 5 D 0 E s n z 2 Y j + / U N r g T m I K M 9 Z f a 9 d p R o H j L X n r p F Z m Y m N D W q F + f 3 T + p 6 O v r l e v X r 8 t t V f + 2 t z t b K 4 o u g H + 9 X 5 B l f 5 G E a u q o 6 g X h 5 t W W + f h x X r 5 W 0 n 3 w o G A L K / z h b k F + d 6 d H V T + 1 4 0 7 g l e j j m g Q L g 6 4 J O t C 7 A + 5 B t d L 7 h L E b 1 1 Q n Q y B F k E r / q + 2 T b K Q u q Y E 0 7 p q o x G S m E M l z H 9 V K r J j b s C + n k s R x p F v I E w V a Z w x r b A g i z t + 8 U C e M P p Y 8 0 l b 1 0 O / 4 p V O 3 3 Q n 5 6 d c h q i J q d C w g j + E h Y 8 z + q v Z V X K d x F C D J l 3 M 5 + W w 2 X + u c b g Z s I C Q R 6 i y 2 E R K L Y / I h J d v j A n V v o F C X 6 g 7 k v z y 1 b 8 R 6 2 q g T w k v B / X q F D x 4 H z 9 e T / u f t H y G R f 6 4 m m c j z z / l 5 F P a 1 a / X l T 8 0 p Q c p l d r y W j S / R D C q I q z i t i N T q / F m B i v S F q k u g m G + s D J z 7 5 k n W t h Z d v r M j 8 7 M z / t n W Q J W r d X j G A F s L 2 2 p + f t 4 G N i Y B N s n v 7 / a Y 1 O k m Z D O 4 7 K M x 0 l e V / g h P Y B A n I S X j 4 C q 7 p Y B k a s g P J P 2 v T o w I k t X G P r n r A l t T 8 2 q f 8 b e a Z + 5 y k l T k 2 v V z x i G S t j f + n q a e X M l u M M i P M F m 6 h T x x Q F I R G Z 1 j / u Y A I B J u 3 + / u z t k I V K Y s j p x T g s K M g M 0 c 1 C S y w s H 6 h / q L K q U W z L 0 e B w z 7 j x 7 m 5 c s W / W V P C / s q 8 e 4 3 s Z W w 4 Y I I S y z 6 A 0 8 a X q X m e 0 N b P z + c 9 L + Y c 4 4 g b j 9 4 H M j 3 y e S p g f 4 1 P p m U a f r d F R k o M i G Q x x 9 S z Y Y i 9 R c 2 b c s H I U 4 z Y o X R L U S z + 2 e b U l 0 / y 1 4 d q C v X L p + 3 K G 7 c 0 Q O D Q y p J 6 v Y O z z 0 7 + 1 g W 5 m Y a 8 h 3 K F d X N m o D P r 6 4 s y v D Q g N x V W 2 p 5 m Q k j j 6 p + z I m B n b T u 2 3 z d C E i O + 3 x b V c o o 9 I f U w b D n L 4 m X M R n q l d z e r N s P b Y O J P F I 9 z y M D e c E U v N 6 7 J k A i f x v 8 v J 1 z y c 9 7 9 8 c v 1 / h D O v J G W e V C r / S S X u I R 6 6 Q K 5 2 y A l O K O X 5 h s r M z k E 5 L k o t G Z h B K p 4 + Z M Y O U J h n J M n b u g h V a V B 3 f v m P O C c U n M + R A 3 Y Y k D I 2 x Z 1 e L q t e s y N T k m 3 3 9 / 2 z y K Y c x t p k 0 y d T v o P P 9 c b b s o C R o R E X U q s G o Y I B X J e B U g l y X / G i / P J 0 B D C u f 5 p D B y 6 L E + Z O 1 c M K + B R L 7 L 3 P + u t H I l i 6 s 1 g J o N 5 d J g k S B Q v r i x B Q o i j m D d Q D z K / 6 v 5 v F W C 8 f 6 K 9 A S k F H t M L n J n K W v 7 g H i 2 g a E h C 9 P B 8 W D u d A X E Y v 2 j 0 t 6 u L Y D G Y D 2 i v 5 e W n t j 5 K H D N y v K i u c w n J 6 d l a 3 N L S q V 9 K 3 y H X V V H 6 S c L Z H U 1 6 H 7 4 0 7 3 C k b 4 q H C m n D l d I t t H / 7 B 9 1 k x 1 v a 4 k / X r j t e 5 W 9 n g L H 9 l n v u B 7 o 6 v L c d c F t P Z + B h n W p 5 a X 3 f v J q A 3 d I 2 s 4 0 5 u Q z W 8 Y 8 u 3 X 9 k J N Q L j 0 L w P P F c q L g I K I T E k / g n x / k p e R 7 1 F i v i W f 1 p u 6 q X 8 / z o h a 6 G V z p i 4 q L 8 n Y L k 1 2 4 d N W O J 6 a m Z G J 8 U F Z W V m 1 2 I V 4 K m F n P d G 9 c X A w g 0 w N V / / x H M G B j R Y H O 5 5 O B 1 r + G r b 9 n / 6 i b f u L P k c k q u p 8 X P H b b G o k c K d y x n 5 Q w Q V X P c z y Q z 2 h c 7 x o 7 r y m l x B 0 c Z I I c y q G e I g X 3 U H H P b p D E l w f h S B V H r m 4 h H a o d R v V 7 V 6 K n y j I 7 Z s t 7 f N Q y g k B H / U D Q O H i F 6 1 5 v I 5 B o L l g V Q L 7 p 6 f P y 3 b f f y T f f f G d T m m 1 t b 8 v F g R 0 p H 0 Z / R z e D j t 5 v n 9 T V P z q b o 5 D P n E x j Q f X z d v z / a k X G v l e 5 a + / D 9 r W i 8 + f n R R L G 8 i B E 6 D i 8 z 3 k j D g R S y e T O + V E S u i O D A 9 G h a w 1 O C Z d 6 c 0 w C 6 X 7 E u 2 H Q L W R J i t u L W Q v F + c m 1 U q T X a W 4 z o 6 p L y k b v r q 6 2 X v C a 8 U l x E 5 o Q z c 2 S n F Z e P q 7 f e F 7 e + d E P J F U 9 l E / / + p n 8 6 x / / L F 9 8 / o U M l r 6 X 7 c 2 1 h m u f B c x u Z C x K Y l U b K 1 T X M C j j k 6 g j t X L R r e 3 p f 7 b H c S h 5 e V p P + W P / C J n 8 / Y D k Y a v / + d d 6 p K m f 9 7 x 4 t u / y H c H s c 1 5 6 7 y e v H + F N S k T + P 6 S m Y W b z 5 f c Z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2E970874-FC32-49D5-9C14-8594F9DF13D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C289C89-024F-4A40-8A76-ECEEBF76DD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861B5F-9A63-467F-BE7E-43D584B0D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1944cd-a7a0-4e00-bfe4-94534309c52d"/>
    <ds:schemaRef ds:uri="cd468123-9462-4689-9367-3f4a044563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80190BB-7191-48FB-B4FC-B13244A37700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4EE72399-5099-4DED-B6CC-1984E15E54E1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100</vt:i4>
      </vt:variant>
    </vt:vector>
  </HeadingPairs>
  <TitlesOfParts>
    <vt:vector size="109" baseType="lpstr">
      <vt:lpstr>CUSTOMER</vt:lpstr>
      <vt:lpstr>VALEN</vt:lpstr>
      <vt:lpstr>Doors</vt:lpstr>
      <vt:lpstr>Moldings</vt:lpstr>
      <vt:lpstr>INFOR ORDER</vt:lpstr>
      <vt:lpstr>Door Inserts</vt:lpstr>
      <vt:lpstr>Price Lists</vt:lpstr>
      <vt:lpstr>SKU List</vt:lpstr>
      <vt:lpstr>Sheet1</vt:lpstr>
      <vt:lpstr>'Price Lists'!Alabaster</vt:lpstr>
      <vt:lpstr>'Price Lists'!Argento</vt:lpstr>
      <vt:lpstr>'Price Lists'!ArgentoContemporary</vt:lpstr>
      <vt:lpstr>'Price Lists'!ArgentoTraditional</vt:lpstr>
      <vt:lpstr>'Price Lists'!ArgentoTraditionalAndContemporaryCombination</vt:lpstr>
      <vt:lpstr>Bravo</vt:lpstr>
      <vt:lpstr>CUSTOMER!clear</vt:lpstr>
      <vt:lpstr>VALEN!clear</vt:lpstr>
      <vt:lpstr>Color</vt:lpstr>
      <vt:lpstr>'Price Lists'!ColorList</vt:lpstr>
      <vt:lpstr>Contemporary</vt:lpstr>
      <vt:lpstr>Contemporary4780</vt:lpstr>
      <vt:lpstr>ContemporaryWf432Alabaster</vt:lpstr>
      <vt:lpstr>ContemporaryWf433Argento</vt:lpstr>
      <vt:lpstr>ContemporaryWf434Gibraltar</vt:lpstr>
      <vt:lpstr>ContemporaryWF435Palomino</vt:lpstr>
      <vt:lpstr>ContemporaryWf436Kodiak</vt:lpstr>
      <vt:lpstr>DoorContemporaryWf432Alabaster</vt:lpstr>
      <vt:lpstr>DoorContemporaryWf433Argento</vt:lpstr>
      <vt:lpstr>DoorContemporaryWf434Gibraltar</vt:lpstr>
      <vt:lpstr>DoorContemporaryWf435Palomino</vt:lpstr>
      <vt:lpstr>DoorContemporaryWf436Kodiak</vt:lpstr>
      <vt:lpstr>DoorTraditionalAndContemporaryCombinationWf432Alabaster</vt:lpstr>
      <vt:lpstr>DoorTraditionalAndContemporaryCombinationWf433Argento</vt:lpstr>
      <vt:lpstr>DoorTraditionalAndContemporaryCombinationWf434Gibraltar</vt:lpstr>
      <vt:lpstr>DoorTraditionalAndContemporaryCombinationWf435Palomino</vt:lpstr>
      <vt:lpstr>DoorTraditionalAndContemporaryCombinationWf436Kodiak</vt:lpstr>
      <vt:lpstr>DoorTraditionalWf432Alabaster</vt:lpstr>
      <vt:lpstr>DoorTraditionalWf433Argento</vt:lpstr>
      <vt:lpstr>DoorTraditionalWf434Gibraltar</vt:lpstr>
      <vt:lpstr>DoorTraditionalWf435Palomino</vt:lpstr>
      <vt:lpstr>DoorTraditionalWf436Kodiak</vt:lpstr>
      <vt:lpstr>DrawerContemporaryWf432Alabaster</vt:lpstr>
      <vt:lpstr>DrawerContemporaryWf433Argento</vt:lpstr>
      <vt:lpstr>DrawerContemporaryWf434Gibraltar</vt:lpstr>
      <vt:lpstr>DrawerContemporaryWf435Palomino</vt:lpstr>
      <vt:lpstr>DrawerContemporaryWf436Kodiak</vt:lpstr>
      <vt:lpstr>DrawerTraditionalAndContemporaryCombinationWf432Alabaster</vt:lpstr>
      <vt:lpstr>DrawerTraditionalAndContemporaryCombinationWf433Argento</vt:lpstr>
      <vt:lpstr>DrawerTraditionalAndContemporaryCombinationWf434Gibraltar</vt:lpstr>
      <vt:lpstr>DrawerTraditionalAndContemporaryCombinationWf435Palomino</vt:lpstr>
      <vt:lpstr>DrawerTraditionalAndContemporaryCombinationWf436Kodiak</vt:lpstr>
      <vt:lpstr>DrawerTraditionalWf432Alabaster</vt:lpstr>
      <vt:lpstr>DrawerTraditionalWf433Argento</vt:lpstr>
      <vt:lpstr>DrawerTraditionalWf434Gibraltar</vt:lpstr>
      <vt:lpstr>DrawerTraditionalWf435Palomino</vt:lpstr>
      <vt:lpstr>DrawerTraditionalWf436Kodiak</vt:lpstr>
      <vt:lpstr>DrawerTraditonalWf434Gibraltar</vt:lpstr>
      <vt:lpstr>'Price Lists'!Gibraltar</vt:lpstr>
      <vt:lpstr>'Price Lists'!GibraltarContempory</vt:lpstr>
      <vt:lpstr>'Price Lists'!GibraltarTraditional</vt:lpstr>
      <vt:lpstr>'Price Lists'!GibraltarTraditionalAndContemporaryCombination</vt:lpstr>
      <vt:lpstr>'Price Lists'!ItemsList</vt:lpstr>
      <vt:lpstr>'Price Lists'!Kodiak</vt:lpstr>
      <vt:lpstr>'Price Lists'!KodiakContemporary</vt:lpstr>
      <vt:lpstr>'Price Lists'!KodiakTraditional</vt:lpstr>
      <vt:lpstr>'Price Lists'!KodiakTraditionalAndContemporaryCombination</vt:lpstr>
      <vt:lpstr>NarrowContemporaryCombo4482.4780</vt:lpstr>
      <vt:lpstr>NarrowTraditional</vt:lpstr>
      <vt:lpstr>NarrowTraditional4482</vt:lpstr>
      <vt:lpstr>'Price Lists'!Palomino</vt:lpstr>
      <vt:lpstr>'Price Lists'!PalominoContemporary</vt:lpstr>
      <vt:lpstr>'Price Lists'!PalominoTraditional</vt:lpstr>
      <vt:lpstr>'Price Lists'!PalominoTraditionalAndContemporaryCombination</vt:lpstr>
      <vt:lpstr>CUSTOMER!Print_Area</vt:lpstr>
      <vt:lpstr>Doors!Print_Area</vt:lpstr>
      <vt:lpstr>VALEN!Print_Area</vt:lpstr>
      <vt:lpstr>CUSTOMER!Print_Titles</vt:lpstr>
      <vt:lpstr>profile</vt:lpstr>
      <vt:lpstr>Slab</vt:lpstr>
      <vt:lpstr>'Price Lists'!Stile4482andRail4780</vt:lpstr>
      <vt:lpstr>Tempo</vt:lpstr>
      <vt:lpstr>TraditionalAndContemporaryCombinationWf432Alabaster</vt:lpstr>
      <vt:lpstr>TraditionalAndContemporaryCombinationWf433Argento</vt:lpstr>
      <vt:lpstr>TraditionalAndContemporaryCombinationWf434Gibraltar</vt:lpstr>
      <vt:lpstr>TraditionalAndContemporaryCombinationWf435Palomino</vt:lpstr>
      <vt:lpstr>TraditionalAndContemporaryCombinationWf436Kodiak</vt:lpstr>
      <vt:lpstr>Traditionalwf432Alabaster</vt:lpstr>
      <vt:lpstr>traditionalWf433Argento</vt:lpstr>
      <vt:lpstr>TraditionalWf434Gibraltar</vt:lpstr>
      <vt:lpstr>TraditionalWf435Palomino</vt:lpstr>
      <vt:lpstr>TraditionalWf436Kodiak</vt:lpstr>
      <vt:lpstr>'Price Lists'!WF432Alabaster</vt:lpstr>
      <vt:lpstr>'Price Lists'!WF432AlabasterContemporary</vt:lpstr>
      <vt:lpstr>'Price Lists'!WF432AlabasterTraditional</vt:lpstr>
      <vt:lpstr>'Price Lists'!WF432AlabasterTraditionalAndContemporaryCombination</vt:lpstr>
      <vt:lpstr>'Price Lists'!WF433Argento</vt:lpstr>
      <vt:lpstr>'Price Lists'!WF433ArgentoContemporary</vt:lpstr>
      <vt:lpstr>'Price Lists'!WF433ArgentoTraditional</vt:lpstr>
      <vt:lpstr>'Price Lists'!Wf433ArgentoTraditionalAndContemporaryCombination</vt:lpstr>
      <vt:lpstr>'Price Lists'!WF434Gibraltar</vt:lpstr>
      <vt:lpstr>'Price Lists'!WF434GibraltarContemporary</vt:lpstr>
      <vt:lpstr>'Price Lists'!WF435Palomino</vt:lpstr>
      <vt:lpstr>'Price Lists'!WF435PalominoContemporary</vt:lpstr>
      <vt:lpstr>'Price Lists'!WF436Kodiak</vt:lpstr>
      <vt:lpstr>'Price Lists'!Wf436KodiakContemporary</vt:lpstr>
      <vt:lpstr>WideNarrowCombo4544.4482</vt:lpstr>
      <vt:lpstr>WideNarrowCombo45444482</vt:lpstr>
      <vt:lpstr>WideTraditional</vt:lpstr>
      <vt:lpstr>WideTraditional4544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Humiston</dc:creator>
  <cp:lastModifiedBy>Patty Rasmussen</cp:lastModifiedBy>
  <cp:lastPrinted>2018-02-23T04:47:58Z</cp:lastPrinted>
  <dcterms:created xsi:type="dcterms:W3CDTF">2006-09-16T00:00:00Z</dcterms:created>
  <dcterms:modified xsi:type="dcterms:W3CDTF">2022-05-19T21:25:40Z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0x010100818B962657F90F4C82D673703A89B810</vt:lpwstr>
  </property>
</Properties>
</file>